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BUXHETI\Shpenzimet\"/>
    </mc:Choice>
  </mc:AlternateContent>
  <bookViews>
    <workbookView xWindow="0" yWindow="0" windowWidth="18870" windowHeight="5925" activeTab="2"/>
  </bookViews>
  <sheets>
    <sheet name="Raporti Janar-Shtator 2016" sheetId="2" r:id="rId1"/>
    <sheet name="SHPEN ANALITIKE DREJTORATE " sheetId="12" r:id="rId2"/>
    <sheet name="Analitik e Permbledhur" sheetId="4" r:id="rId3"/>
    <sheet name="Kapitalet Janar-Shtator 2016" sheetId="5" r:id="rId4"/>
    <sheet name="Planifiki i te hyrave 2016" sheetId="13" r:id="rId5"/>
    <sheet name="Krahasimi h" sheetId="7" r:id="rId6"/>
    <sheet name="Ekzekutimet e Thesarit " sheetId="8" r:id="rId7"/>
  </sheets>
  <externalReferences>
    <externalReference r:id="rId8"/>
  </externalReferences>
  <definedNames>
    <definedName name="_xlnm._FilterDatabase" localSheetId="2" hidden="1">'Analitik e Permbledhur'!$A$3:$O$3</definedName>
    <definedName name="_xlnm.Print_Area" localSheetId="2">'Analitik e Permbledhur'!$A$1:$O$77</definedName>
    <definedName name="_xlnm.Print_Area" localSheetId="3">'Kapitalet Janar-Shtator 2016'!$A$1:$G$120</definedName>
    <definedName name="_xlnm.Print_Area" localSheetId="0">'Raporti Janar-Shtator 2016'!$A$1:$I$243</definedName>
    <definedName name="_xlnm.Print_Titles" localSheetId="3">'Kapitalet Janar-Shtator 2016'!$1:$2</definedName>
  </definedNames>
  <calcPr calcId="152511"/>
</workbook>
</file>

<file path=xl/calcChain.xml><?xml version="1.0" encoding="utf-8"?>
<calcChain xmlns="http://schemas.openxmlformats.org/spreadsheetml/2006/main">
  <c r="S27" i="4" l="1"/>
  <c r="S17" i="4" l="1"/>
  <c r="S18" i="4"/>
  <c r="R18" i="4"/>
  <c r="S16" i="4"/>
  <c r="R16" i="4"/>
  <c r="S15" i="4"/>
  <c r="R15" i="4"/>
  <c r="R10" i="4"/>
  <c r="S14" i="4"/>
  <c r="S7" i="4"/>
  <c r="S8" i="4"/>
  <c r="S9" i="4"/>
  <c r="S12" i="4"/>
  <c r="S6" i="4"/>
  <c r="R14" i="4"/>
  <c r="R12" i="4"/>
  <c r="R9" i="4"/>
  <c r="R8" i="4"/>
  <c r="R7" i="4"/>
  <c r="Q7" i="4"/>
  <c r="R6" i="4"/>
  <c r="Q6" i="4"/>
  <c r="C52" i="13" l="1"/>
  <c r="C51" i="13"/>
  <c r="C50" i="13"/>
  <c r="C49" i="13"/>
  <c r="D48" i="13"/>
  <c r="C48" i="13"/>
  <c r="E48" i="13" s="1"/>
  <c r="C47" i="13"/>
  <c r="D47" i="13" s="1"/>
  <c r="B47" i="13"/>
  <c r="C46" i="13"/>
  <c r="D46" i="13" s="1"/>
  <c r="C45" i="13"/>
  <c r="E45" i="13" s="1"/>
  <c r="B45" i="13"/>
  <c r="B49" i="13" s="1"/>
  <c r="C44" i="13"/>
  <c r="C43" i="13"/>
  <c r="D43" i="13" s="1"/>
  <c r="D42" i="13"/>
  <c r="C42" i="13"/>
  <c r="E42" i="13" s="1"/>
  <c r="C41" i="13"/>
  <c r="D41" i="13" s="1"/>
  <c r="D40" i="13"/>
  <c r="C40" i="13"/>
  <c r="E40" i="13" s="1"/>
  <c r="C39" i="13"/>
  <c r="D39" i="13" s="1"/>
  <c r="B39" i="13"/>
  <c r="C38" i="13"/>
  <c r="D38" i="13" s="1"/>
  <c r="D37" i="13"/>
  <c r="C37" i="13"/>
  <c r="E37" i="13" s="1"/>
  <c r="C35" i="13"/>
  <c r="D35" i="13" s="1"/>
  <c r="D34" i="13"/>
  <c r="C34" i="13"/>
  <c r="E34" i="13" s="1"/>
  <c r="C33" i="13"/>
  <c r="D31" i="13"/>
  <c r="C31" i="13"/>
  <c r="E31" i="13" s="1"/>
  <c r="C30" i="13"/>
  <c r="D30" i="13" s="1"/>
  <c r="D29" i="13"/>
  <c r="C29" i="13"/>
  <c r="E29" i="13" s="1"/>
  <c r="C28" i="13"/>
  <c r="D28" i="13" s="1"/>
  <c r="D26" i="13"/>
  <c r="C26" i="13"/>
  <c r="E26" i="13" s="1"/>
  <c r="C25" i="13"/>
  <c r="D25" i="13" s="1"/>
  <c r="D24" i="13"/>
  <c r="C24" i="13"/>
  <c r="E24" i="13" s="1"/>
  <c r="C22" i="13"/>
  <c r="D22" i="13" s="1"/>
  <c r="D21" i="13"/>
  <c r="C21" i="13"/>
  <c r="E21" i="13" s="1"/>
  <c r="C19" i="13"/>
  <c r="D19" i="13" s="1"/>
  <c r="D18" i="13"/>
  <c r="C18" i="13"/>
  <c r="E18" i="13" s="1"/>
  <c r="C16" i="13"/>
  <c r="D16" i="13" s="1"/>
  <c r="D15" i="13"/>
  <c r="C15" i="13"/>
  <c r="E15" i="13" s="1"/>
  <c r="C13" i="13"/>
  <c r="D13" i="13" s="1"/>
  <c r="D11" i="13"/>
  <c r="C11" i="13"/>
  <c r="E11" i="13" s="1"/>
  <c r="C10" i="13"/>
  <c r="D10" i="13" s="1"/>
  <c r="D9" i="13"/>
  <c r="C9" i="13"/>
  <c r="E9" i="13" s="1"/>
  <c r="C8" i="13"/>
  <c r="D8" i="13" s="1"/>
  <c r="D7" i="13"/>
  <c r="C7" i="13"/>
  <c r="E7" i="13" s="1"/>
  <c r="C6" i="13"/>
  <c r="D6" i="13" s="1"/>
  <c r="D5" i="13"/>
  <c r="C5" i="13"/>
  <c r="E5" i="13" s="1"/>
  <c r="C4" i="13"/>
  <c r="D4" i="13" s="1"/>
  <c r="B51" i="13" l="1"/>
  <c r="D49" i="13"/>
  <c r="E49" i="13"/>
  <c r="D51" i="13"/>
  <c r="E4" i="13"/>
  <c r="E6" i="13"/>
  <c r="E8" i="13"/>
  <c r="E10" i="13"/>
  <c r="E13" i="13"/>
  <c r="E16" i="13"/>
  <c r="E19" i="13"/>
  <c r="E22" i="13"/>
  <c r="E25" i="13"/>
  <c r="E28" i="13"/>
  <c r="E30" i="13"/>
  <c r="E35" i="13"/>
  <c r="E38" i="13"/>
  <c r="E39" i="13"/>
  <c r="E41" i="13"/>
  <c r="E43" i="13"/>
  <c r="D45" i="13"/>
  <c r="E46" i="13"/>
  <c r="E47" i="13"/>
  <c r="E51" i="13"/>
  <c r="C51" i="7" l="1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5" i="7"/>
  <c r="B35" i="7"/>
  <c r="C34" i="7"/>
  <c r="B34" i="7"/>
  <c r="C33" i="7"/>
  <c r="B33" i="7"/>
  <c r="C31" i="7"/>
  <c r="B31" i="7"/>
  <c r="C30" i="7"/>
  <c r="B30" i="7"/>
  <c r="C29" i="7"/>
  <c r="B29" i="7"/>
  <c r="C28" i="7"/>
  <c r="B28" i="7"/>
  <c r="C26" i="7"/>
  <c r="B26" i="7"/>
  <c r="C25" i="7"/>
  <c r="B25" i="7"/>
  <c r="C24" i="7"/>
  <c r="B24" i="7"/>
  <c r="C22" i="7"/>
  <c r="B22" i="7"/>
  <c r="C21" i="7"/>
  <c r="B21" i="7"/>
  <c r="C19" i="7"/>
  <c r="B19" i="7"/>
  <c r="C18" i="7"/>
  <c r="B18" i="7"/>
  <c r="C16" i="7"/>
  <c r="B16" i="7"/>
  <c r="C15" i="7"/>
  <c r="B15" i="7"/>
  <c r="C13" i="7"/>
  <c r="B13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D4" i="7" l="1"/>
  <c r="D5" i="7"/>
  <c r="D6" i="7"/>
  <c r="D7" i="7"/>
  <c r="D8" i="7"/>
  <c r="D9" i="7"/>
  <c r="D13" i="7"/>
  <c r="D15" i="7"/>
  <c r="D16" i="7"/>
  <c r="D19" i="7"/>
  <c r="D21" i="7"/>
  <c r="D22" i="7"/>
  <c r="D24" i="7"/>
  <c r="D25" i="7"/>
  <c r="D26" i="7"/>
  <c r="D28" i="7"/>
  <c r="D29" i="7"/>
  <c r="D34" i="7"/>
  <c r="D35" i="7"/>
  <c r="D37" i="7"/>
  <c r="D38" i="7"/>
  <c r="D39" i="7"/>
  <c r="D40" i="7"/>
  <c r="D41" i="7"/>
  <c r="D42" i="7"/>
  <c r="D45" i="7"/>
  <c r="D46" i="7"/>
  <c r="D47" i="7"/>
  <c r="D49" i="7"/>
  <c r="D50" i="7"/>
  <c r="D51" i="7"/>
  <c r="E4" i="7"/>
  <c r="E5" i="7"/>
  <c r="E6" i="7"/>
  <c r="E7" i="7"/>
  <c r="E8" i="7"/>
  <c r="E9" i="7"/>
  <c r="E13" i="7"/>
  <c r="E15" i="7"/>
  <c r="E16" i="7"/>
  <c r="E19" i="7"/>
  <c r="E21" i="7"/>
  <c r="E22" i="7"/>
  <c r="E24" i="7"/>
  <c r="E25" i="7"/>
  <c r="E26" i="7"/>
  <c r="E28" i="7"/>
  <c r="E29" i="7"/>
  <c r="E34" i="7"/>
  <c r="E35" i="7"/>
  <c r="E37" i="7"/>
  <c r="E38" i="7"/>
  <c r="E39" i="7"/>
  <c r="E40" i="7"/>
  <c r="E41" i="7"/>
  <c r="E42" i="7"/>
  <c r="E45" i="7"/>
  <c r="E46" i="7"/>
  <c r="E47" i="7"/>
  <c r="E49" i="7"/>
  <c r="E50" i="7"/>
  <c r="E51" i="7"/>
  <c r="C24" i="5" l="1"/>
  <c r="C67" i="5"/>
  <c r="B296" i="12"/>
  <c r="D120" i="5" l="1"/>
  <c r="F120" i="5"/>
  <c r="F119" i="5"/>
  <c r="D119" i="5"/>
  <c r="F118" i="5"/>
  <c r="D118" i="5"/>
  <c r="F117" i="5"/>
  <c r="D117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10" i="5"/>
  <c r="D110" i="5"/>
  <c r="F109" i="5"/>
  <c r="D109" i="5"/>
  <c r="F108" i="5"/>
  <c r="D108" i="5"/>
  <c r="F107" i="5"/>
  <c r="D107" i="5"/>
  <c r="F106" i="5"/>
  <c r="D106" i="5"/>
  <c r="F105" i="5"/>
  <c r="D105" i="5"/>
  <c r="F104" i="5"/>
  <c r="D104" i="5"/>
  <c r="F103" i="5"/>
  <c r="D103" i="5"/>
  <c r="F102" i="5"/>
  <c r="D102" i="5"/>
  <c r="F101" i="5"/>
  <c r="D101" i="5"/>
  <c r="F100" i="5"/>
  <c r="D100" i="5"/>
  <c r="F99" i="5"/>
  <c r="D99" i="5"/>
  <c r="F98" i="5"/>
  <c r="D98" i="5"/>
  <c r="F97" i="5"/>
  <c r="D97" i="5"/>
  <c r="F96" i="5"/>
  <c r="D96" i="5"/>
  <c r="F95" i="5"/>
  <c r="D95" i="5"/>
  <c r="F94" i="5"/>
  <c r="D94" i="5"/>
  <c r="F93" i="5"/>
  <c r="D93" i="5"/>
  <c r="F92" i="5"/>
  <c r="D92" i="5"/>
  <c r="F91" i="5"/>
  <c r="D91" i="5"/>
  <c r="F90" i="5"/>
  <c r="D90" i="5"/>
  <c r="F87" i="5"/>
  <c r="D87" i="5"/>
  <c r="F86" i="5"/>
  <c r="D86" i="5"/>
  <c r="F85" i="5"/>
  <c r="D85" i="5"/>
  <c r="F84" i="5"/>
  <c r="D84" i="5"/>
  <c r="F83" i="5"/>
  <c r="D83" i="5"/>
  <c r="F82" i="5"/>
  <c r="D82" i="5"/>
  <c r="F81" i="5"/>
  <c r="D81" i="5"/>
  <c r="D80" i="5"/>
  <c r="D79" i="5"/>
  <c r="D78" i="5"/>
  <c r="D77" i="5"/>
  <c r="D76" i="5"/>
  <c r="F75" i="5"/>
  <c r="D75" i="5"/>
  <c r="F74" i="5"/>
  <c r="D74" i="5"/>
  <c r="F73" i="5"/>
  <c r="D73" i="5"/>
  <c r="F72" i="5"/>
  <c r="D72" i="5"/>
  <c r="F71" i="5"/>
  <c r="D71" i="5"/>
  <c r="F70" i="5"/>
  <c r="D70" i="5"/>
  <c r="F69" i="5"/>
  <c r="D69" i="5"/>
  <c r="F68" i="5"/>
  <c r="D68" i="5"/>
  <c r="F67" i="5"/>
  <c r="D67" i="5"/>
  <c r="F66" i="5"/>
  <c r="D66" i="5"/>
  <c r="F65" i="5"/>
  <c r="D65" i="5"/>
  <c r="F64" i="5"/>
  <c r="D64" i="5"/>
  <c r="F63" i="5"/>
  <c r="D63" i="5"/>
  <c r="F62" i="5"/>
  <c r="D62" i="5"/>
  <c r="F61" i="5"/>
  <c r="D61" i="5"/>
  <c r="F60" i="5"/>
  <c r="D60" i="5"/>
  <c r="F59" i="5"/>
  <c r="D59" i="5"/>
  <c r="F58" i="5"/>
  <c r="D58" i="5"/>
  <c r="F57" i="5"/>
  <c r="D57" i="5"/>
  <c r="F56" i="5"/>
  <c r="D56" i="5"/>
  <c r="F54" i="5"/>
  <c r="D54" i="5"/>
  <c r="F53" i="5"/>
  <c r="D53" i="5"/>
  <c r="F52" i="5"/>
  <c r="D52" i="5"/>
  <c r="F51" i="5"/>
  <c r="D51" i="5"/>
  <c r="F50" i="5"/>
  <c r="D50" i="5"/>
  <c r="D49" i="5"/>
  <c r="F48" i="5"/>
  <c r="D48" i="5"/>
  <c r="F47" i="5"/>
  <c r="D47" i="5"/>
  <c r="F46" i="5"/>
  <c r="D46" i="5"/>
  <c r="F45" i="5"/>
  <c r="D45" i="5"/>
  <c r="F44" i="5"/>
  <c r="D44" i="5"/>
  <c r="F43" i="5"/>
  <c r="D43" i="5"/>
  <c r="F42" i="5"/>
  <c r="D42" i="5"/>
  <c r="F41" i="5"/>
  <c r="D41" i="5"/>
  <c r="D40" i="5"/>
  <c r="D39" i="5"/>
  <c r="D38" i="5"/>
  <c r="D37" i="5"/>
  <c r="F36" i="5"/>
  <c r="D36" i="5"/>
  <c r="F35" i="5"/>
  <c r="D35" i="5"/>
  <c r="F34" i="5"/>
  <c r="D34" i="5"/>
  <c r="F33" i="5"/>
  <c r="D33" i="5"/>
  <c r="F32" i="5"/>
  <c r="D32" i="5"/>
  <c r="F31" i="5"/>
  <c r="D31" i="5"/>
  <c r="F30" i="5"/>
  <c r="D30" i="5"/>
  <c r="F29" i="5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I241" i="2"/>
  <c r="H241" i="2"/>
  <c r="G241" i="2"/>
  <c r="G239" i="2"/>
  <c r="F239" i="2"/>
  <c r="E239" i="2"/>
  <c r="H239" i="2"/>
  <c r="G238" i="2"/>
  <c r="F237" i="2"/>
  <c r="E237" i="2"/>
  <c r="H237" i="2"/>
  <c r="D237" i="2"/>
  <c r="C237" i="2"/>
  <c r="G237" i="2"/>
  <c r="F236" i="2"/>
  <c r="D236" i="2"/>
  <c r="I236" i="2"/>
  <c r="E236" i="2"/>
  <c r="H236" i="2"/>
  <c r="C236" i="2"/>
  <c r="G236" i="2"/>
  <c r="F235" i="2"/>
  <c r="E235" i="2"/>
  <c r="H235" i="2"/>
  <c r="D235" i="2"/>
  <c r="I235" i="2"/>
  <c r="C235" i="2"/>
  <c r="F234" i="2"/>
  <c r="E234" i="2"/>
  <c r="H234" i="2"/>
  <c r="E232" i="2"/>
  <c r="E233" i="2"/>
  <c r="E242" i="2"/>
  <c r="D234" i="2"/>
  <c r="C234" i="2"/>
  <c r="G234" i="2"/>
  <c r="I233" i="2"/>
  <c r="G233" i="2"/>
  <c r="H233" i="2"/>
  <c r="F232" i="2"/>
  <c r="F242" i="2"/>
  <c r="D232" i="2"/>
  <c r="D242" i="2"/>
  <c r="C232" i="2"/>
  <c r="C242" i="2"/>
  <c r="F228" i="2"/>
  <c r="E228" i="2"/>
  <c r="H228" i="2"/>
  <c r="D228" i="2"/>
  <c r="C228" i="2"/>
  <c r="G228" i="2"/>
  <c r="H227" i="2"/>
  <c r="G227" i="2"/>
  <c r="H226" i="2"/>
  <c r="G226" i="2"/>
  <c r="H225" i="2"/>
  <c r="G225" i="2"/>
  <c r="H224" i="2"/>
  <c r="G224" i="2"/>
  <c r="F220" i="2"/>
  <c r="E220" i="2"/>
  <c r="H220" i="2"/>
  <c r="D220" i="2"/>
  <c r="C220" i="2"/>
  <c r="G220" i="2"/>
  <c r="I219" i="2"/>
  <c r="H219" i="2"/>
  <c r="G219" i="2"/>
  <c r="I217" i="2"/>
  <c r="H217" i="2"/>
  <c r="G217" i="2"/>
  <c r="I216" i="2"/>
  <c r="H216" i="2"/>
  <c r="G216" i="2"/>
  <c r="I215" i="2"/>
  <c r="H215" i="2"/>
  <c r="G215" i="2"/>
  <c r="F211" i="2"/>
  <c r="E210" i="2"/>
  <c r="E211" i="2"/>
  <c r="H211" i="2"/>
  <c r="D211" i="2"/>
  <c r="C211" i="2"/>
  <c r="G211" i="2"/>
  <c r="H210" i="2"/>
  <c r="G210" i="2"/>
  <c r="I209" i="2"/>
  <c r="H209" i="2"/>
  <c r="G209" i="2"/>
  <c r="I208" i="2"/>
  <c r="H208" i="2"/>
  <c r="G208" i="2"/>
  <c r="I207" i="2"/>
  <c r="H207" i="2"/>
  <c r="G207" i="2"/>
  <c r="I206" i="2"/>
  <c r="G206" i="2"/>
  <c r="I205" i="2"/>
  <c r="G205" i="2"/>
  <c r="I204" i="2"/>
  <c r="H204" i="2"/>
  <c r="G204" i="2"/>
  <c r="I203" i="2"/>
  <c r="H203" i="2"/>
  <c r="G203" i="2"/>
  <c r="I202" i="2"/>
  <c r="H202" i="2"/>
  <c r="G202" i="2"/>
  <c r="I201" i="2"/>
  <c r="H201" i="2"/>
  <c r="G201" i="2"/>
  <c r="I196" i="2"/>
  <c r="H196" i="2"/>
  <c r="G196" i="2"/>
  <c r="G195" i="2"/>
  <c r="I194" i="2"/>
  <c r="G194" i="2"/>
  <c r="I193" i="2"/>
  <c r="H193" i="2"/>
  <c r="G193" i="2"/>
  <c r="H192" i="2"/>
  <c r="G192" i="2"/>
  <c r="I191" i="2"/>
  <c r="H191" i="2"/>
  <c r="G191" i="2"/>
  <c r="I190" i="2"/>
  <c r="H190" i="2"/>
  <c r="G190" i="2"/>
  <c r="I189" i="2"/>
  <c r="G189" i="2"/>
  <c r="E189" i="2"/>
  <c r="H189" i="2"/>
  <c r="I188" i="2"/>
  <c r="G188" i="2"/>
  <c r="E188" i="2"/>
  <c r="H188" i="2"/>
  <c r="F187" i="2"/>
  <c r="E187" i="2"/>
  <c r="H187" i="2"/>
  <c r="D187" i="2"/>
  <c r="C187" i="2"/>
  <c r="F186" i="2"/>
  <c r="E186" i="2"/>
  <c r="D186" i="2"/>
  <c r="D197" i="2"/>
  <c r="C186" i="2"/>
  <c r="C197" i="2"/>
  <c r="G197" i="2"/>
  <c r="F182" i="2"/>
  <c r="E182" i="2"/>
  <c r="H182" i="2"/>
  <c r="D182" i="2"/>
  <c r="I182" i="2"/>
  <c r="C182" i="2"/>
  <c r="H181" i="2"/>
  <c r="I180" i="2"/>
  <c r="H180" i="2"/>
  <c r="G180" i="2"/>
  <c r="I179" i="2"/>
  <c r="H179" i="2"/>
  <c r="G179" i="2"/>
  <c r="I178" i="2"/>
  <c r="H178" i="2"/>
  <c r="G178" i="2"/>
  <c r="F174" i="2"/>
  <c r="E174" i="2"/>
  <c r="H174" i="2"/>
  <c r="D174" i="2"/>
  <c r="I174" i="2"/>
  <c r="C174" i="2"/>
  <c r="I173" i="2"/>
  <c r="H173" i="2"/>
  <c r="G173" i="2"/>
  <c r="I172" i="2"/>
  <c r="H172" i="2"/>
  <c r="G172" i="2"/>
  <c r="F168" i="2"/>
  <c r="E168" i="2"/>
  <c r="H168" i="2"/>
  <c r="D168" i="2"/>
  <c r="C168" i="2"/>
  <c r="G168" i="2"/>
  <c r="I167" i="2"/>
  <c r="H167" i="2"/>
  <c r="G167" i="2"/>
  <c r="I166" i="2"/>
  <c r="H166" i="2"/>
  <c r="G166" i="2"/>
  <c r="G161" i="2"/>
  <c r="E161" i="2"/>
  <c r="H161" i="2"/>
  <c r="I160" i="2"/>
  <c r="H160" i="2"/>
  <c r="G160" i="2"/>
  <c r="I159" i="2"/>
  <c r="H159" i="2"/>
  <c r="G159" i="2"/>
  <c r="H158" i="2"/>
  <c r="F157" i="2"/>
  <c r="E157" i="2"/>
  <c r="H157" i="2"/>
  <c r="D157" i="2"/>
  <c r="C157" i="2"/>
  <c r="F156" i="2"/>
  <c r="E156" i="2"/>
  <c r="H156" i="2"/>
  <c r="D156" i="2"/>
  <c r="C156" i="2"/>
  <c r="G156" i="2"/>
  <c r="D162" i="2"/>
  <c r="C162" i="2"/>
  <c r="G162" i="2"/>
  <c r="F152" i="2"/>
  <c r="E152" i="2"/>
  <c r="H152" i="2"/>
  <c r="D152" i="2"/>
  <c r="C152" i="2"/>
  <c r="G152" i="2"/>
  <c r="G151" i="2"/>
  <c r="H150" i="2"/>
  <c r="G150" i="2"/>
  <c r="I149" i="2"/>
  <c r="H149" i="2"/>
  <c r="G149" i="2"/>
  <c r="I148" i="2"/>
  <c r="H148" i="2"/>
  <c r="G148" i="2"/>
  <c r="H143" i="2"/>
  <c r="G143" i="2"/>
  <c r="I142" i="2"/>
  <c r="G142" i="2"/>
  <c r="E142" i="2"/>
  <c r="H142" i="2"/>
  <c r="I141" i="2"/>
  <c r="H141" i="2"/>
  <c r="G141" i="2"/>
  <c r="I140" i="2"/>
  <c r="H140" i="2"/>
  <c r="G140" i="2"/>
  <c r="I139" i="2"/>
  <c r="H139" i="2"/>
  <c r="G139" i="2"/>
  <c r="I138" i="2"/>
  <c r="G138" i="2"/>
  <c r="F137" i="2"/>
  <c r="E137" i="2"/>
  <c r="E133" i="2"/>
  <c r="E134" i="2"/>
  <c r="E144" i="2"/>
  <c r="D137" i="2"/>
  <c r="C137" i="2"/>
  <c r="G137" i="2"/>
  <c r="I136" i="2"/>
  <c r="H136" i="2"/>
  <c r="G136" i="2"/>
  <c r="G135" i="2"/>
  <c r="F134" i="2"/>
  <c r="D134" i="2"/>
  <c r="I134" i="2"/>
  <c r="C134" i="2"/>
  <c r="F133" i="2"/>
  <c r="F144" i="2"/>
  <c r="D133" i="2"/>
  <c r="C133" i="2"/>
  <c r="C144" i="2"/>
  <c r="F129" i="2"/>
  <c r="E129" i="2"/>
  <c r="H129" i="2"/>
  <c r="D129" i="2"/>
  <c r="C129" i="2"/>
  <c r="G129" i="2"/>
  <c r="I128" i="2"/>
  <c r="H128" i="2"/>
  <c r="G128" i="2"/>
  <c r="I127" i="2"/>
  <c r="H127" i="2"/>
  <c r="G127" i="2"/>
  <c r="I126" i="2"/>
  <c r="H126" i="2"/>
  <c r="G126" i="2"/>
  <c r="F122" i="2"/>
  <c r="E122" i="2"/>
  <c r="H122" i="2"/>
  <c r="D122" i="2"/>
  <c r="I122" i="2"/>
  <c r="C122" i="2"/>
  <c r="I121" i="2"/>
  <c r="H121" i="2"/>
  <c r="G121" i="2"/>
  <c r="I120" i="2"/>
  <c r="H120" i="2"/>
  <c r="G120" i="2"/>
  <c r="F116" i="2"/>
  <c r="E116" i="2"/>
  <c r="H116" i="2"/>
  <c r="D116" i="2"/>
  <c r="C116" i="2"/>
  <c r="G116" i="2"/>
  <c r="I115" i="2"/>
  <c r="H115" i="2"/>
  <c r="G115" i="2"/>
  <c r="I114" i="2"/>
  <c r="H114" i="2"/>
  <c r="G114" i="2"/>
  <c r="F110" i="2"/>
  <c r="D110" i="2"/>
  <c r="I110" i="2"/>
  <c r="E110" i="2"/>
  <c r="H110" i="2"/>
  <c r="C110" i="2"/>
  <c r="G110" i="2"/>
  <c r="I109" i="2"/>
  <c r="H109" i="2"/>
  <c r="G109" i="2"/>
  <c r="I108" i="2"/>
  <c r="H108" i="2"/>
  <c r="G108" i="2"/>
  <c r="F102" i="2"/>
  <c r="D102" i="2"/>
  <c r="C102" i="2"/>
  <c r="G102" i="2"/>
  <c r="I101" i="2"/>
  <c r="H101" i="2"/>
  <c r="G101" i="2"/>
  <c r="I100" i="2"/>
  <c r="E100" i="2"/>
  <c r="E102" i="2"/>
  <c r="H102" i="2"/>
  <c r="G99" i="2"/>
  <c r="H98" i="2"/>
  <c r="G98" i="2"/>
  <c r="I97" i="2"/>
  <c r="G97" i="2"/>
  <c r="I96" i="2"/>
  <c r="H96" i="2"/>
  <c r="G96" i="2"/>
  <c r="I95" i="2"/>
  <c r="H95" i="2"/>
  <c r="G95" i="2"/>
  <c r="F91" i="2"/>
  <c r="D91" i="2"/>
  <c r="I91" i="2"/>
  <c r="E91" i="2"/>
  <c r="C91" i="2"/>
  <c r="I90" i="2"/>
  <c r="H90" i="2"/>
  <c r="G90" i="2"/>
  <c r="I89" i="2"/>
  <c r="H89" i="2"/>
  <c r="G89" i="2"/>
  <c r="I88" i="2"/>
  <c r="H88" i="2"/>
  <c r="G88" i="2"/>
  <c r="G87" i="2"/>
  <c r="H86" i="2"/>
  <c r="G86" i="2"/>
  <c r="I85" i="2"/>
  <c r="H85" i="2"/>
  <c r="G85" i="2"/>
  <c r="I84" i="2"/>
  <c r="H84" i="2"/>
  <c r="G84" i="2"/>
  <c r="I83" i="2"/>
  <c r="H83" i="2"/>
  <c r="G83" i="2"/>
  <c r="D77" i="2"/>
  <c r="E76" i="2"/>
  <c r="H76" i="2"/>
  <c r="I75" i="2"/>
  <c r="G75" i="2"/>
  <c r="E75" i="2"/>
  <c r="E77" i="2"/>
  <c r="I74" i="2"/>
  <c r="H74" i="2"/>
  <c r="G74" i="2"/>
  <c r="I73" i="2"/>
  <c r="H73" i="2"/>
  <c r="G73" i="2"/>
  <c r="I72" i="2"/>
  <c r="H72" i="2"/>
  <c r="G72" i="2"/>
  <c r="I71" i="2"/>
  <c r="H71" i="2"/>
  <c r="G71" i="2"/>
  <c r="I70" i="2"/>
  <c r="H70" i="2"/>
  <c r="G70" i="2"/>
  <c r="H69" i="2"/>
  <c r="I68" i="2"/>
  <c r="H68" i="2"/>
  <c r="G68" i="2"/>
  <c r="I67" i="2"/>
  <c r="H67" i="2"/>
  <c r="G67" i="2"/>
  <c r="I66" i="2"/>
  <c r="H66" i="2"/>
  <c r="G66" i="2"/>
  <c r="I65" i="2"/>
  <c r="H65" i="2"/>
  <c r="C65" i="2"/>
  <c r="G65" i="2"/>
  <c r="C77" i="2"/>
  <c r="I64" i="2"/>
  <c r="H64" i="2"/>
  <c r="G64" i="2"/>
  <c r="I63" i="2"/>
  <c r="H63" i="2"/>
  <c r="G63" i="2"/>
  <c r="F62" i="2"/>
  <c r="I62" i="2"/>
  <c r="H62" i="2"/>
  <c r="G62" i="2"/>
  <c r="F77" i="2"/>
  <c r="I61" i="2"/>
  <c r="H61" i="2"/>
  <c r="G61" i="2"/>
  <c r="I60" i="2"/>
  <c r="H60" i="2"/>
  <c r="G60" i="2"/>
  <c r="I59" i="2"/>
  <c r="H59" i="2"/>
  <c r="G59" i="2"/>
  <c r="F56" i="2"/>
  <c r="D56" i="2"/>
  <c r="I56" i="2"/>
  <c r="E56" i="2"/>
  <c r="H55" i="2"/>
  <c r="G55" i="2"/>
  <c r="H54" i="2"/>
  <c r="G54" i="2"/>
  <c r="I53" i="2"/>
  <c r="H53" i="2"/>
  <c r="G53" i="2"/>
  <c r="H52" i="2"/>
  <c r="C52" i="2"/>
  <c r="G52" i="2"/>
  <c r="C56" i="2"/>
  <c r="G56" i="2"/>
  <c r="I51" i="2"/>
  <c r="H51" i="2"/>
  <c r="F47" i="2"/>
  <c r="D47" i="2"/>
  <c r="I47" i="2"/>
  <c r="E47" i="2"/>
  <c r="C47" i="2"/>
  <c r="G47" i="2"/>
  <c r="I46" i="2"/>
  <c r="H46" i="2"/>
  <c r="G46" i="2"/>
  <c r="I45" i="2"/>
  <c r="H45" i="2"/>
  <c r="G45" i="2"/>
  <c r="I44" i="2"/>
  <c r="H44" i="2"/>
  <c r="G44" i="2"/>
  <c r="I43" i="2"/>
  <c r="H43" i="2"/>
  <c r="G43" i="2"/>
  <c r="I42" i="2"/>
  <c r="H42" i="2"/>
  <c r="G42" i="2"/>
  <c r="F38" i="2"/>
  <c r="E38" i="2"/>
  <c r="H38" i="2"/>
  <c r="D38" i="2"/>
  <c r="C38" i="2"/>
  <c r="G38" i="2"/>
  <c r="I37" i="2"/>
  <c r="H37" i="2"/>
  <c r="G37" i="2"/>
  <c r="I36" i="2"/>
  <c r="H36" i="2"/>
  <c r="G36" i="2"/>
  <c r="I35" i="2"/>
  <c r="H35" i="2"/>
  <c r="G35" i="2"/>
  <c r="I34" i="2"/>
  <c r="H34" i="2"/>
  <c r="G34" i="2"/>
  <c r="I33" i="2"/>
  <c r="H33" i="2"/>
  <c r="G33" i="2"/>
  <c r="E29" i="2"/>
  <c r="D29" i="2"/>
  <c r="C29" i="2"/>
  <c r="G29" i="2"/>
  <c r="I28" i="2"/>
  <c r="H28" i="2"/>
  <c r="G28" i="2"/>
  <c r="I27" i="2"/>
  <c r="H27" i="2"/>
  <c r="G27" i="2"/>
  <c r="I26" i="2"/>
  <c r="H26" i="2"/>
  <c r="G26" i="2"/>
  <c r="F25" i="2"/>
  <c r="I25" i="2"/>
  <c r="H25" i="2"/>
  <c r="G25" i="2"/>
  <c r="F29" i="2"/>
  <c r="I24" i="2"/>
  <c r="H24" i="2"/>
  <c r="G24" i="2"/>
  <c r="F21" i="2"/>
  <c r="E21" i="2"/>
  <c r="H21" i="2"/>
  <c r="D21" i="2"/>
  <c r="I20" i="2"/>
  <c r="H20" i="2"/>
  <c r="C20" i="2"/>
  <c r="G20" i="2"/>
  <c r="I19" i="2"/>
  <c r="H19" i="2"/>
  <c r="C19" i="2"/>
  <c r="G19" i="2"/>
  <c r="I18" i="2"/>
  <c r="H18" i="2"/>
  <c r="C18" i="2"/>
  <c r="G18" i="2"/>
  <c r="I17" i="2"/>
  <c r="H17" i="2"/>
  <c r="C17" i="2"/>
  <c r="G17" i="2"/>
  <c r="I16" i="2"/>
  <c r="H16" i="2"/>
  <c r="C16" i="2"/>
  <c r="G16" i="2"/>
  <c r="C21" i="2"/>
  <c r="G21" i="2"/>
  <c r="D12" i="2"/>
  <c r="D13" i="2"/>
  <c r="C12" i="2"/>
  <c r="C13" i="2"/>
  <c r="G13" i="2"/>
  <c r="F12" i="2"/>
  <c r="I12" i="2"/>
  <c r="E12" i="2"/>
  <c r="E13" i="2"/>
  <c r="G12" i="2"/>
  <c r="I11" i="2"/>
  <c r="H11" i="2"/>
  <c r="G11" i="2"/>
  <c r="I10" i="2"/>
  <c r="H10" i="2"/>
  <c r="G10" i="2"/>
  <c r="I9" i="2"/>
  <c r="H9" i="2"/>
  <c r="G9" i="2"/>
  <c r="H29" i="2"/>
  <c r="I29" i="2"/>
  <c r="I77" i="2"/>
  <c r="G77" i="2"/>
  <c r="G242" i="2"/>
  <c r="F197" i="2"/>
  <c r="I197" i="2"/>
  <c r="F13" i="2"/>
  <c r="I13" i="2"/>
  <c r="I102" i="2"/>
  <c r="G133" i="2"/>
  <c r="H134" i="2"/>
  <c r="I137" i="2"/>
  <c r="I152" i="2"/>
  <c r="G157" i="2"/>
  <c r="G182" i="2"/>
  <c r="H186" i="2"/>
  <c r="I187" i="2"/>
  <c r="G235" i="2"/>
  <c r="I237" i="2"/>
  <c r="H12" i="2"/>
  <c r="I129" i="2"/>
  <c r="I156" i="2"/>
  <c r="I211" i="2"/>
  <c r="I234" i="2"/>
  <c r="G232" i="2"/>
  <c r="G187" i="2"/>
  <c r="H13" i="2"/>
  <c r="L77" i="4"/>
  <c r="N73" i="4"/>
  <c r="N66" i="4"/>
  <c r="N58" i="4"/>
  <c r="N54" i="4"/>
  <c r="N49" i="4"/>
  <c r="N45" i="4"/>
  <c r="N37" i="4"/>
  <c r="N34" i="4"/>
  <c r="N32" i="4"/>
  <c r="N30" i="4"/>
  <c r="N20" i="4"/>
  <c r="N16" i="4"/>
  <c r="N14" i="4"/>
  <c r="N10" i="4"/>
  <c r="N6" i="4"/>
  <c r="N75" i="4"/>
  <c r="N72" i="4"/>
  <c r="N67" i="4"/>
  <c r="N63" i="4"/>
  <c r="N60" i="4"/>
  <c r="N56" i="4"/>
  <c r="N50" i="4"/>
  <c r="N48" i="4"/>
  <c r="N46" i="4"/>
  <c r="N44" i="4"/>
  <c r="N42" i="4"/>
  <c r="N18" i="4"/>
  <c r="N12" i="4"/>
  <c r="N8" i="4"/>
  <c r="N5" i="4"/>
  <c r="N7" i="4"/>
  <c r="N9" i="4"/>
  <c r="N11" i="4"/>
  <c r="N13" i="4"/>
  <c r="N15" i="4"/>
  <c r="N17" i="4"/>
  <c r="N22" i="4"/>
  <c r="N23" i="4"/>
  <c r="N24" i="4"/>
  <c r="N25" i="4"/>
  <c r="N26" i="4"/>
  <c r="N27" i="4"/>
  <c r="N29" i="4"/>
  <c r="N31" i="4"/>
  <c r="N33" i="4"/>
  <c r="N36" i="4"/>
  <c r="N38" i="4"/>
  <c r="N39" i="4"/>
  <c r="N40" i="4"/>
  <c r="N43" i="4"/>
  <c r="N47" i="4"/>
  <c r="N53" i="4"/>
  <c r="N55" i="4"/>
  <c r="N57" i="4"/>
  <c r="N59" i="4"/>
  <c r="N61" i="4"/>
  <c r="N68" i="4"/>
  <c r="N76" i="4"/>
  <c r="N4" i="4"/>
  <c r="N21" i="4"/>
  <c r="C8" i="8"/>
  <c r="M77" i="4"/>
  <c r="N77" i="4" s="1"/>
  <c r="H144" i="2"/>
  <c r="H77" i="2"/>
  <c r="C243" i="2"/>
  <c r="I242" i="2"/>
  <c r="H242" i="2"/>
  <c r="I186" i="2"/>
  <c r="G186" i="2"/>
  <c r="H137" i="2"/>
  <c r="I38" i="2"/>
  <c r="F162" i="2"/>
  <c r="G122" i="2"/>
  <c r="H47" i="2"/>
  <c r="H56" i="2"/>
  <c r="H75" i="2"/>
  <c r="I116" i="2"/>
  <c r="G134" i="2"/>
  <c r="E162" i="2"/>
  <c r="E197" i="2"/>
  <c r="E243" i="2"/>
  <c r="G174" i="2"/>
  <c r="I220" i="2"/>
  <c r="H232" i="2"/>
  <c r="I239" i="2"/>
  <c r="D144" i="2"/>
  <c r="G144" i="2"/>
  <c r="G91" i="2"/>
  <c r="I168" i="2"/>
  <c r="I21" i="2"/>
  <c r="H91" i="2"/>
  <c r="I232" i="2"/>
  <c r="F243" i="2"/>
  <c r="K232" i="2"/>
  <c r="I133" i="2"/>
  <c r="H133" i="2"/>
  <c r="I157" i="2"/>
  <c r="H197" i="2"/>
  <c r="D243" i="2"/>
  <c r="G243" i="2"/>
  <c r="I144" i="2"/>
  <c r="H243" i="2"/>
  <c r="I162" i="2"/>
  <c r="H162" i="2"/>
  <c r="I243" i="2"/>
</calcChain>
</file>

<file path=xl/sharedStrings.xml><?xml version="1.0" encoding="utf-8"?>
<sst xmlns="http://schemas.openxmlformats.org/spreadsheetml/2006/main" count="1194" uniqueCount="465">
  <si>
    <t>KOMUNA E LIPJANIT</t>
  </si>
  <si>
    <t>RAPORTI I BUXHETIT TË ALOKUAR DHE SHPENZIMI NË BAZË TË BURIMIT TË MJETEVE KATEGORIVE EKONOMIKE DHE PROGRAMEVE PËR NËNTË  MUJORIN E VITIT 2016  SI DHE KRAHSIMI ME VITIN 2015 PËR  KOMUNËN E LIPJANIT</t>
  </si>
  <si>
    <t xml:space="preserve"> </t>
  </si>
  <si>
    <t>BUXHETI DHE SHPENZIMET  SIPAS FONDEVE BURIMORE</t>
  </si>
  <si>
    <t>2016/2015</t>
  </si>
  <si>
    <t>Fondi Burimor</t>
  </si>
  <si>
    <t>Buxheti-alokimi</t>
  </si>
  <si>
    <t>Shpenzimi</t>
  </si>
  <si>
    <t>Realizimi i. % shpenz.</t>
  </si>
  <si>
    <t>Krahasimi I shpenzimit</t>
  </si>
  <si>
    <t xml:space="preserve">GRANTI QEVERITAR </t>
  </si>
  <si>
    <t xml:space="preserve">TE HYRAT VETANAKE </t>
  </si>
  <si>
    <t>31.41.67</t>
  </si>
  <si>
    <t>DONACIONET E BARTURA</t>
  </si>
  <si>
    <t>Gjithsejtë:</t>
  </si>
  <si>
    <t>BUXHETI DHE SHPENZIMET  SIPAS KATEGORIVE EKONOMIKE</t>
  </si>
  <si>
    <t>Real. % shpenz.</t>
  </si>
  <si>
    <t>PAGA DHE MEDITJE</t>
  </si>
  <si>
    <t>MALLRA DHE SHERBIME</t>
  </si>
  <si>
    <t>SUBVENCIONE DHE TRANSFERE</t>
  </si>
  <si>
    <t>INVESTIME KAPITALE</t>
  </si>
  <si>
    <t>SHPENZIME KOMUNALE</t>
  </si>
  <si>
    <t>BUXHETI DHE SHPENZIMET  NGA GRANTI QEVERITAR(10)</t>
  </si>
  <si>
    <t>Fondi Burimor( Grant Qeveritar)</t>
  </si>
  <si>
    <t>Krahasimi</t>
  </si>
  <si>
    <t>MALLRA DHE SHERBIME,</t>
  </si>
  <si>
    <t>KOMUNALIT</t>
  </si>
  <si>
    <t>BUXHETI DHE SHPENZIMET  NGA TE HYRAT VETANAKE(21)</t>
  </si>
  <si>
    <t>Fondi Burimor( TÉ HYRAT VETANAKE )</t>
  </si>
  <si>
    <t>KOMUNALI</t>
  </si>
  <si>
    <t>BUXHETI DHE SHPENZIMET  NGA TE HYRAT VETANAKE(22)</t>
  </si>
  <si>
    <t>Fondi Burimor( TÉ HYRAT VETANAKE TÉ BARTURA)</t>
  </si>
  <si>
    <t>BUXHETI DHE SHPENZIMET  NGA DONATORËT</t>
  </si>
  <si>
    <t>Fondi Burimor( DONACIONE )</t>
  </si>
  <si>
    <t>MALLRA DHE SHERBIME(Concil of Europe)</t>
  </si>
  <si>
    <t>MALLRA DHE SHERBIME( Unopsi )</t>
  </si>
  <si>
    <t>QEVERIA ZVICRANE (Mallra dhe sherbime)</t>
  </si>
  <si>
    <t>QEVERIA ZVICRANE (Kapitale)</t>
  </si>
  <si>
    <t>Buxheti dhe Shpenzimet sipas Fondeve Burimore dhe kategorive ekonomike në tërsi</t>
  </si>
  <si>
    <t>Përshkrimi</t>
  </si>
  <si>
    <t>GQ 10</t>
  </si>
  <si>
    <t>THV21</t>
  </si>
  <si>
    <t>THV  22</t>
  </si>
  <si>
    <t>THV 21</t>
  </si>
  <si>
    <t>THV 22</t>
  </si>
  <si>
    <t>DON. I BARTUR</t>
  </si>
  <si>
    <t>MALLRA DHE SHERBIME( Kultur,rini,sport - Arsim dhe Shkence)</t>
  </si>
  <si>
    <t>THV22</t>
  </si>
  <si>
    <t>DONACION</t>
  </si>
  <si>
    <t>Gjithsejt:</t>
  </si>
  <si>
    <t>Buxheti dhe Shpenzimet sipas Fondeve Burimore,Programeve dhe kategorive ekonomike</t>
  </si>
  <si>
    <t>Zyra e Kryetarit</t>
  </si>
  <si>
    <t>Kodi Burimor</t>
  </si>
  <si>
    <t xml:space="preserve">Paga </t>
  </si>
  <si>
    <t>Mallra dhe  sherbime</t>
  </si>
  <si>
    <t>Komunali</t>
  </si>
  <si>
    <t>Subvencione</t>
  </si>
  <si>
    <t>Pasurit JoFinanciare</t>
  </si>
  <si>
    <t>Administrata dhe Personeli</t>
  </si>
  <si>
    <t>Investime kapitale</t>
  </si>
  <si>
    <t>Inspekcioni</t>
  </si>
  <si>
    <t>Prokurimi</t>
  </si>
  <si>
    <t>Zyra e Kuvendit Komunal</t>
  </si>
  <si>
    <t>Mallra dhe Sherbime</t>
  </si>
  <si>
    <t>Buxhet dhe Financa</t>
  </si>
  <si>
    <t>Shërbime Publike MCE</t>
  </si>
  <si>
    <t>Komunalit</t>
  </si>
  <si>
    <t xml:space="preserve">DONACION </t>
  </si>
  <si>
    <t>Investim Kapital</t>
  </si>
  <si>
    <t>donacion</t>
  </si>
  <si>
    <t>Zyra Lokale e Komuniteteve</t>
  </si>
  <si>
    <t>Bujqësi Pylltari dhe Zhvillim Rural</t>
  </si>
  <si>
    <t>GQ 11</t>
  </si>
  <si>
    <t>Donacion I Bartur</t>
  </si>
  <si>
    <t>Investime Kapitale</t>
  </si>
  <si>
    <t>Zhvillim Ekonomik</t>
  </si>
  <si>
    <t>Kadaster Gjeodezi dhe Pronë</t>
  </si>
  <si>
    <t>Planifikim Urban dhe Mjedis</t>
  </si>
  <si>
    <t>Kujdesi primar Shendetsor</t>
  </si>
  <si>
    <t>Kultur  Rini dhe Sport</t>
  </si>
  <si>
    <t>Kapitale</t>
  </si>
  <si>
    <t xml:space="preserve">DON. I BARTUR </t>
  </si>
  <si>
    <t>Mallra dhe  sherbime( Grant I donatorve te brendshem)</t>
  </si>
  <si>
    <t>Sherbime Sociale</t>
  </si>
  <si>
    <t>Sherbime Rezedeciale</t>
  </si>
  <si>
    <t>Arsimi dhe Shkencë</t>
  </si>
  <si>
    <t>Grand I Donatorve</t>
  </si>
  <si>
    <t>TOTALI</t>
  </si>
  <si>
    <t>_________________________</t>
  </si>
  <si>
    <t>RAPORT ANALITIK I SHPENZIMEVE NE BAZE TE KODEVE EKONOMIKE NE DREJTORATE  JANAR-SHTATOR</t>
  </si>
  <si>
    <t xml:space="preserve">      16003  -  Z.KRYETARIT-LIPJAN</t>
  </si>
  <si>
    <t xml:space="preserve">        11110  -  PAGAT NETO PËRMES LIS.PAGAVE</t>
  </si>
  <si>
    <t xml:space="preserve">        11115  -  PAGESA PER SINDIKATE</t>
  </si>
  <si>
    <t xml:space="preserve">        11500  -  TATI.I NDALUR NE TE ARDH.PERS.</t>
  </si>
  <si>
    <t xml:space="preserve">        11600  -  KONTRIBUTI PENSIONAL-PUNETORI</t>
  </si>
  <si>
    <t xml:space="preserve">        11700  -  KONTRIBUTI PENSIONAL-PUNEDHENE</t>
  </si>
  <si>
    <t xml:space="preserve">        13140  -  SHP.E UDHË.ZYRT.JASHTË VENDIT</t>
  </si>
  <si>
    <t xml:space="preserve">        13141  -  MEDITJA-UDHE.ZYRT.JASHT VENDIT</t>
  </si>
  <si>
    <t xml:space="preserve">        13142  -  AKOMODIMI-UDH.ZYRT.JASHT VEND</t>
  </si>
  <si>
    <t xml:space="preserve">        13143  -  SHPEN.TJERA-UDH.ZYR.JASHT VEND</t>
  </si>
  <si>
    <t xml:space="preserve">        13310  -  SHPENZIMET PER INTERNET</t>
  </si>
  <si>
    <t xml:space="preserve">        13320  -  SHPENZIMET E TELEFONIS MOBILE</t>
  </si>
  <si>
    <t xml:space="preserve">        13440  -  SHËR.E NDRYSH.INTEL.&amp;KËSHILLDH</t>
  </si>
  <si>
    <t xml:space="preserve">        13450  -  SHERBIME SHTYPJE-JO MARKETING</t>
  </si>
  <si>
    <t xml:space="preserve">        13504  -  HARDUER PËR TEK.INFOR. &lt;1000</t>
  </si>
  <si>
    <t xml:space="preserve">        13509  -  PAISJE TJERA &lt;1000</t>
  </si>
  <si>
    <t xml:space="preserve">        13610  -  FURNIZIME PËR ZYRË</t>
  </si>
  <si>
    <t xml:space="preserve">        13620  -  FURN.USHQIM &amp;PIJE(JO DREKA ZYR</t>
  </si>
  <si>
    <t xml:space="preserve">        13810  -  AVAS PER PARA TE IMET(P.CASH)</t>
  </si>
  <si>
    <t xml:space="preserve">        13820  -  AVANS PER UDHETIME ZYRTARE</t>
  </si>
  <si>
    <t xml:space="preserve">        14010  -  MIREMB._x0016_ RIPARIMI I AUTOMJET.</t>
  </si>
  <si>
    <t xml:space="preserve">        14020  -  MIREMBAJTJA E NDERTESAVE</t>
  </si>
  <si>
    <t xml:space="preserve">        14060  -  MIRMBAJTJA RUTINORE</t>
  </si>
  <si>
    <t xml:space="preserve">        14220  -  BOTIMET E PUBLIKIMEVE</t>
  </si>
  <si>
    <t xml:space="preserve">        14310  -  DREKA ZYRTARE</t>
  </si>
  <si>
    <t xml:space="preserve">        14410  -  SHPENZIME-VENDIMET E GJYKATAVE</t>
  </si>
  <si>
    <t xml:space="preserve">        21110  -  SUBV.PËR ENTITETET PUBLIKE</t>
  </si>
  <si>
    <t xml:space="preserve">        21200  -  SUB.PËR ENTIT.JOPUBLIKE</t>
  </si>
  <si>
    <t xml:space="preserve">        22200  -  PAG.PËR PËRFITUESIT INDIVIDUAL</t>
  </si>
  <si>
    <t xml:space="preserve">        34000  -  PAGESA-VENDIME GJYQESORE</t>
  </si>
  <si>
    <t xml:space="preserve">      16303  -  ADMINISTRATA-LIPJAN</t>
  </si>
  <si>
    <t xml:space="preserve">        13210  -  RRYMA</t>
  </si>
  <si>
    <t xml:space="preserve">        13220  -  UJI</t>
  </si>
  <si>
    <t xml:space="preserve">        13250  -  SHPENZIMET TELEFONIKE</t>
  </si>
  <si>
    <t xml:space="preserve">        13330  -  SHPENZIMET POSTARE</t>
  </si>
  <si>
    <t xml:space="preserve">        13410  -  SHËRBIMET E ARSIMIT_x0016_ TRAJNIMIT</t>
  </si>
  <si>
    <t xml:space="preserve">        13460  -  SHERB KONTRAKTUESE TJERA</t>
  </si>
  <si>
    <t xml:space="preserve">        13470  -  SHERBIME TEKNIKE</t>
  </si>
  <si>
    <t xml:space="preserve">        13720  -  NAFTE PER NGROHJE QENDRORE</t>
  </si>
  <si>
    <t xml:space="preserve">        13780  -  KARBURANT PER VETURA</t>
  </si>
  <si>
    <t xml:space="preserve">        13950  -  REGJISTRIMI I AUTOMJETEVE</t>
  </si>
  <si>
    <t xml:space="preserve">        13951  -  SIGURIMI I AUTOMJETEVE</t>
  </si>
  <si>
    <t xml:space="preserve">        14050  -  MIREMB.E MOBILEVE DHE PAISJEVE</t>
  </si>
  <si>
    <t xml:space="preserve">        14210  -  REKLAMAT DHE KONKURSET</t>
  </si>
  <si>
    <t xml:space="preserve">        14230  -  SHPENZ PER INFOR PUB</t>
  </si>
  <si>
    <t xml:space="preserve">      16605  -  INSPEKCIONI-LIPJAN</t>
  </si>
  <si>
    <t xml:space="preserve">      16715  -  PROKURIMI-LIPJAN</t>
  </si>
  <si>
    <t xml:space="preserve">      16903  -  ZYRA E KUV.KOMUN.LIPJAN</t>
  </si>
  <si>
    <t xml:space="preserve">      17503  -  BUXHETIMI-LIPJAN</t>
  </si>
  <si>
    <t xml:space="preserve">        13480  -  SHPENZIMET PER ANETARESIM</t>
  </si>
  <si>
    <t xml:space="preserve">      18163  -  INFRASTRUK.PUBLIKE-LIPJAN</t>
  </si>
  <si>
    <t xml:space="preserve">        13640  -  FURNIZIME PASTRIMI</t>
  </si>
  <si>
    <t xml:space="preserve">        31230  -  NDËRTIMI I RRUGËVE LOKALE</t>
  </si>
  <si>
    <t xml:space="preserve">        31240  -  TROTUARET</t>
  </si>
  <si>
    <t xml:space="preserve">        31250  -  KANALIZIMI</t>
  </si>
  <si>
    <t xml:space="preserve">        31270  -  MIRMBAJTJA INVESTIVE</t>
  </si>
  <si>
    <t xml:space="preserve">        31660  -  PAISJE SPECIALE MJEKSORE</t>
  </si>
  <si>
    <t xml:space="preserve">      18215  -  SHERBIMET E ZJARRF.-LIPJAN</t>
  </si>
  <si>
    <t xml:space="preserve">        13230  -  MBETURINAT</t>
  </si>
  <si>
    <t xml:space="preserve">      19515  -  ZLK-LIPJAN</t>
  </si>
  <si>
    <t xml:space="preserve">      47003  -  BUJQËSIA - LIPJAN</t>
  </si>
  <si>
    <t xml:space="preserve">        13501  -  MOBILJE (ME PAK SE 1000 Euro)</t>
  </si>
  <si>
    <t xml:space="preserve">        13650  -  FURNIZIM ME VESHMBATHJE</t>
  </si>
  <si>
    <t xml:space="preserve">      47083  -  PYLLTARIA &amp; INSPEKCIONI-LIPJAN</t>
  </si>
  <si>
    <t xml:space="preserve">      48003  -  PLANIF.ZHV.EKONOM-LIPJAN</t>
  </si>
  <si>
    <t xml:space="preserve">      65015  -  SHËRBIMET KADASTRALE-LIPJAN</t>
  </si>
  <si>
    <t xml:space="preserve">      66320  -  PLANIF.URBAN.INSPEKC.-LIPJAN</t>
  </si>
  <si>
    <t xml:space="preserve">        31124  -  OBJEKTET SPORTIVE</t>
  </si>
  <si>
    <t xml:space="preserve">      73012  -  ADMINISTRATA-LIPJAN</t>
  </si>
  <si>
    <t xml:space="preserve">      73200  -  SHËR. E KUJ. PRI. SHË.LIPJAN</t>
  </si>
  <si>
    <t xml:space="preserve">        13630  -  FURNIZIME MJEKËSORE</t>
  </si>
  <si>
    <t xml:space="preserve">        13750  -  QYMYR</t>
  </si>
  <si>
    <t xml:space="preserve">        13770  -  DERIVATE PER GJENERATOR</t>
  </si>
  <si>
    <t xml:space="preserve">        14024  -  MIRËMBAJTJA OBJEKT.SHENDETSORE</t>
  </si>
  <si>
    <t xml:space="preserve">      75511  -  SHERBIMET SOCIALEL-LIPJAN</t>
  </si>
  <si>
    <t xml:space="preserve">      75512  -  SHERBIMET RESIDENCIALE-LIPJAN</t>
  </si>
  <si>
    <t xml:space="preserve">        13503  -  KOMPJUTERË ME PAK SE 1000 Euro</t>
  </si>
  <si>
    <t xml:space="preserve">        13505  -  MAKINA FOTOKOPJUSE_x0014_1000</t>
  </si>
  <si>
    <t xml:space="preserve">      85003  -  SHËRBIMET KULTURORE-LIPJAN</t>
  </si>
  <si>
    <t xml:space="preserve">        13660  -  AKOMODIMI</t>
  </si>
  <si>
    <t xml:space="preserve">        13760  -  DRU</t>
  </si>
  <si>
    <t xml:space="preserve">        34100  -  PAGESA - NENI 39.2 LMFPP</t>
  </si>
  <si>
    <t>RAPORTI I SHPENZIMEVE SIPAS KODEVE DHE KRAHASIMI PER TE NJEJTEN PERIUDHE JANAR-SHTATOR 2016-2015</t>
  </si>
  <si>
    <t>Përshkrim</t>
  </si>
  <si>
    <t>VITI 2015</t>
  </si>
  <si>
    <t>VITI 2016</t>
  </si>
  <si>
    <t>Krahasimi 2016 ne raport me 2015</t>
  </si>
  <si>
    <t>pjesmarrja e shpenzimit ne total</t>
  </si>
  <si>
    <t xml:space="preserve">      11110  -  PAGAT </t>
  </si>
  <si>
    <t xml:space="preserve">      13130  -  SHPENZ.UDHË.ZYRT.BRENDA VENDIT</t>
  </si>
  <si>
    <t xml:space="preserve">      13132  -  AKOMODIMI-UDH.ZYRT.BREND.VENDI</t>
  </si>
  <si>
    <t xml:space="preserve">      13140  -  SHP.E UDHË.ZYRT.JASHTË VENDIT</t>
  </si>
  <si>
    <t xml:space="preserve">      13141  -  MEDITJA-UDHE.ZYRT.JASHT VENDIT</t>
  </si>
  <si>
    <t xml:space="preserve">      13142  -  AKOMODIMI-UDH.ZYRT.JASHT VEND</t>
  </si>
  <si>
    <t xml:space="preserve">      13143  -  SHPEN.TJERA-UDH.ZYR.JASHT VEND</t>
  </si>
  <si>
    <t xml:space="preserve">      13210  -  RRYMA</t>
  </si>
  <si>
    <t xml:space="preserve">      13220  -  UJI</t>
  </si>
  <si>
    <t xml:space="preserve">      13230  -  MBETURINAT</t>
  </si>
  <si>
    <t xml:space="preserve">      13250  -  SHPENZIMET TELEFONIKE</t>
  </si>
  <si>
    <t xml:space="preserve">      13310  -  SHPENZIMET PER INTERNET</t>
  </si>
  <si>
    <t xml:space="preserve">      13320  -  SHPENZIMET E TELEFONIS MOBILE</t>
  </si>
  <si>
    <t xml:space="preserve">      13330  -  SHPENZIMET POSTARE</t>
  </si>
  <si>
    <t xml:space="preserve">      13410  -  SHËRBIMET E ARSIMIT_x0016_ TRAJNIMIT</t>
  </si>
  <si>
    <t xml:space="preserve">      13440  -  SHËRBIMET E NDRYSHME ITEL.KESHILLDHENSE</t>
  </si>
  <si>
    <t xml:space="preserve">      13450  -  SHERBIME SHTYPJE-JO MARKETING</t>
  </si>
  <si>
    <t xml:space="preserve">      13460  -  SHERB KONTRAKTUESE TJERA</t>
  </si>
  <si>
    <t xml:space="preserve">      13470  -  SHERBIME TEKNIKE</t>
  </si>
  <si>
    <t xml:space="preserve">      13480  -  SHPENZIMET PER ANETARESIM</t>
  </si>
  <si>
    <t xml:space="preserve">      13501  -  MOBILJE (ME PAK SE 1000 Euro)</t>
  </si>
  <si>
    <t xml:space="preserve">      13503  -  KOMPJUTERË ME PAK SE 1000 Euro</t>
  </si>
  <si>
    <t xml:space="preserve">      13504  -  HARDUER PËR TEK.INFOR. &lt;1000</t>
  </si>
  <si>
    <t xml:space="preserve">      13505  -  MAKINA FOTOKOPJUSE_x0014_1000</t>
  </si>
  <si>
    <t xml:space="preserve">      13508- PAISJE TRAFIKU &lt;1000</t>
  </si>
  <si>
    <t xml:space="preserve">      13509  -  PAISJE TJERA &lt;1000</t>
  </si>
  <si>
    <t xml:space="preserve">      13610  -  FURNIZIME PËR ZYRË</t>
  </si>
  <si>
    <t xml:space="preserve">      13620  -  FURN.USHQIM &amp;PIJE(JO DREKA ZYR</t>
  </si>
  <si>
    <t xml:space="preserve">      13630  -  FURNIZIME MJEKËSORE</t>
  </si>
  <si>
    <t xml:space="preserve">      13640  -  FURNIZIME PASTRIMI</t>
  </si>
  <si>
    <t xml:space="preserve">      13650  -  FURNIZIM ME VESHMBATHJE</t>
  </si>
  <si>
    <t xml:space="preserve">      13660  -  AKOMODIM</t>
  </si>
  <si>
    <t xml:space="preserve">      13710  -  VAJ</t>
  </si>
  <si>
    <t xml:space="preserve">      13720  -  NAFTE PER NGROHJE QENDRORE</t>
  </si>
  <si>
    <t xml:space="preserve">      13760  -  DRU  THENGJILL</t>
  </si>
  <si>
    <t xml:space="preserve">      13770  -  DERIVATE PER GJENERATOR</t>
  </si>
  <si>
    <t xml:space="preserve">      13780  -  KARBURANT PER VETURA</t>
  </si>
  <si>
    <t xml:space="preserve">      13820  -  AVANS PER UDHETIME ZYRTARE</t>
  </si>
  <si>
    <t xml:space="preserve">      13950  -  REGJISTRIMI I AUTOMJETEVE</t>
  </si>
  <si>
    <t xml:space="preserve">      13951  -  SIGURIMI I AUTOMJETEVE</t>
  </si>
  <si>
    <t xml:space="preserve">      14010  -  MIREMB._x0016_ RIPARIMI I AUTOMJET.</t>
  </si>
  <si>
    <t xml:space="preserve">      14020  -  MIREMBAJTJA E NDERTESAVE</t>
  </si>
  <si>
    <t xml:space="preserve">      14023  -  MIRËMBAJTJA E SHKOLLAVE</t>
  </si>
  <si>
    <t xml:space="preserve">      14024  -  MIRËMBAJTJA OBJEKT.SHENDETSORE</t>
  </si>
  <si>
    <t xml:space="preserve">      14032  -  MIRËMBAJTJA AUTO RRUGE.LOKALE</t>
  </si>
  <si>
    <t xml:space="preserve">      14040  -  MIREMB.E TEKNOLOGJ.INFORMATIVE</t>
  </si>
  <si>
    <t xml:space="preserve">      14050  -  MIREMB.E MOBILEVE DHE PAISJEVE</t>
  </si>
  <si>
    <t xml:space="preserve">      14060  -  MIREMB.RUTINORE</t>
  </si>
  <si>
    <t xml:space="preserve">      14210  -  REKLAMAT DHE KONKURSET</t>
  </si>
  <si>
    <t xml:space="preserve">      14220  -  BOTIMET E PUBLIKIMEVE</t>
  </si>
  <si>
    <t xml:space="preserve">      14230  -  SHPENZ PER INFOR PUB</t>
  </si>
  <si>
    <t xml:space="preserve">      14310  -  DREKA ZYRTARE</t>
  </si>
  <si>
    <t xml:space="preserve">      14410  -  SHPENZIME-VENDIMET E GJYKATAVE</t>
  </si>
  <si>
    <t xml:space="preserve">      14420  -  PAGESA-NENI 39.2 LMFPP</t>
  </si>
  <si>
    <t xml:space="preserve">      21110  -  SUBV.PËR ENTITETET PUBLIKE</t>
  </si>
  <si>
    <t xml:space="preserve">      21200  -  SUB.PËR ENTIT.JOPUBLIKE</t>
  </si>
  <si>
    <t xml:space="preserve">      22200  -  PAG.PËR PËRFITUESIT INDIVIDUAL</t>
  </si>
  <si>
    <t xml:space="preserve">      31121  -  OBJEKTET ARSIMORE</t>
  </si>
  <si>
    <t xml:space="preserve">      31123- OBJEKTE KULTURORE</t>
  </si>
  <si>
    <t xml:space="preserve">      31124  -  OBJEKTET SPORTIVE</t>
  </si>
  <si>
    <t xml:space="preserve">      31126-RRETHOJA</t>
  </si>
  <si>
    <t xml:space="preserve">      31129 - FUSHA SORTIVE</t>
  </si>
  <si>
    <t xml:space="preserve">      31230  -  NDËRTIMI I RRUGËVE LOKALE</t>
  </si>
  <si>
    <t xml:space="preserve">      31240  -  TROTUARET</t>
  </si>
  <si>
    <t xml:space="preserve">      31250  -  KANALIZIMI</t>
  </si>
  <si>
    <t xml:space="preserve">      31160- UJSJELLSI</t>
  </si>
  <si>
    <t xml:space="preserve">      31270  -  MIREMBAJTJE INVESTIVE</t>
  </si>
  <si>
    <t xml:space="preserve">      31660 -  PAISJE SPECIALE MJEKSORE</t>
  </si>
  <si>
    <t xml:space="preserve">      31690  -  PAISJE TJERA</t>
  </si>
  <si>
    <t xml:space="preserve">      31900  -  KAPITAL TJETER</t>
  </si>
  <si>
    <t xml:space="preserve">      32110- RREGULLIMI LUMENJEVE</t>
  </si>
  <si>
    <t xml:space="preserve">      34000  -  PAGESA-VENDIME GJYQESORE</t>
  </si>
  <si>
    <t xml:space="preserve">      34100  -  PAGESA - NENI 39.2 LMFPP</t>
  </si>
  <si>
    <t>Total Balance</t>
  </si>
  <si>
    <t>RAPORTI NËNTË MUJOR I INVESTIMEVE KAPITALE 2016 KOMUNA E LIPJANIT</t>
  </si>
  <si>
    <t>Përshkrimi i Projekteve Kapitale</t>
  </si>
  <si>
    <t>Shuma e Planifikuar me buxhet</t>
  </si>
  <si>
    <t>Transfer dhe ridestinim</t>
  </si>
  <si>
    <t>Buxheti Actual</t>
  </si>
  <si>
    <t>Shpenzimet</t>
  </si>
  <si>
    <t>%</t>
  </si>
  <si>
    <t xml:space="preserve">    10 BUXHETI</t>
  </si>
  <si>
    <t xml:space="preserve">      613 LIPJAN</t>
  </si>
  <si>
    <t xml:space="preserve">        16003 Z.KRYETARIT-LIPJAN</t>
  </si>
  <si>
    <t xml:space="preserve">            40141 PAGESA PER VENDIME GJYQESORE</t>
  </si>
  <si>
    <t xml:space="preserve">        18163 INFRASTRUK.PUBLIKE-LIPJAN</t>
  </si>
  <si>
    <t xml:space="preserve">            40163 BASHKEFINANCIMI ME DONATOR</t>
  </si>
  <si>
    <t xml:space="preserve">            40167 MIRMBAJTJA E NDRIQIMIT PUBLIK</t>
  </si>
  <si>
    <t xml:space="preserve">            40177 Asfaltimi i rrugeve në fshatin Gllogoc.</t>
  </si>
  <si>
    <t xml:space="preserve">            40198 Ndertimi i rrjetit  kanalizimit ne fshatin Rubofc</t>
  </si>
  <si>
    <t xml:space="preserve">            41841 NDERTIMI I LAPIDAREVE NË VARREZAT E DËSHMOREVE DHE MARTIREVE</t>
  </si>
  <si>
    <t xml:space="preserve">            41842 ASFALTIMI I RRUGICAVE NE TOPLIQAN TE VJETER</t>
  </si>
  <si>
    <t xml:space="preserve">            41843 ASFALTIMI I RRUGËS SHALE-BAICE</t>
  </si>
  <si>
    <t xml:space="preserve">            41844 ASFALITIMI I RRUGËS NE BLINAJE</t>
  </si>
  <si>
    <t xml:space="preserve">            41845 NDËRTIMI I RRUGICAVE ME KUBEZA NË JANJEVE</t>
  </si>
  <si>
    <t xml:space="preserve">            41846 BLERJA  E E-KIOSKUT</t>
  </si>
  <si>
    <t xml:space="preserve">            43056 Asfaltimi i Rrugeve brenda Qytetit te Lipjanit</t>
  </si>
  <si>
    <t xml:space="preserve">            43057 Asfaltimi i rrugës Blinajë-Qylagë</t>
  </si>
  <si>
    <t xml:space="preserve">            43059 Asfaltimi i rrugës dhe Infrastruktures në Varrezat e Lipjani</t>
  </si>
  <si>
    <t xml:space="preserve">            43060 Asfaltimi i Rruges Gllogovc- Banulle</t>
  </si>
  <si>
    <t xml:space="preserve">            43061 Asfaltimi i rrugës dhe infrastruktures në Varrezat në Medvec</t>
  </si>
  <si>
    <t xml:space="preserve">            43062 Asfaltimi i rrugeve brenda ne Fshatin Gadime e Ulet faza II-</t>
  </si>
  <si>
    <t xml:space="preserve">            43063 Asfaltimi i  rruges Dobraj e madhe-Qylage dhe rrugve brenda</t>
  </si>
  <si>
    <t xml:space="preserve">            43064 Ndertimi i Trotuarve në Fshatin Ribar i Vogel</t>
  </si>
  <si>
    <t xml:space="preserve">            43065 Asfalltimi i rrugeve në Magure</t>
  </si>
  <si>
    <t xml:space="preserve">            43067 Ndertimi i Trotuarve në Fshatin Rufc i Vjeter</t>
  </si>
  <si>
    <t xml:space="preserve">            43068 Ndertimi i Trotuarve në Fshatin Gllogovc</t>
  </si>
  <si>
    <t xml:space="preserve">            43069 Ndertimi i Trotuarve në Fshatin Llugaxhi</t>
  </si>
  <si>
    <t xml:space="preserve">            43070 Ndertimi i Trotuarve në Fshatin Magure</t>
  </si>
  <si>
    <t xml:space="preserve">            43071 Ndertimi i Trotuarve në Fshatin Banulle</t>
  </si>
  <si>
    <t xml:space="preserve">            43074 Hapja dhe zhavorimi  e rruges Hallaq i Madh- Rufc i Ri</t>
  </si>
  <si>
    <t xml:space="preserve">            43097 Rregullimi i shtratit te Lumit ne fshatin Banulle</t>
  </si>
  <si>
    <t xml:space="preserve">            87205 ND.RRJETIT KANALIZ.FSH.BLINAJE</t>
  </si>
  <si>
    <t xml:space="preserve">            89225 ASFAL.RRUG.SHqiperia  e Hajredin Bajrami</t>
  </si>
  <si>
    <t xml:space="preserve">            89254 Ndertimi i trotuarve ne fshatin :Ribar i Madh</t>
  </si>
  <si>
    <t>Mirmbajtja e ndriqimit publik ne qytet dhe fshatra</t>
  </si>
  <si>
    <t>Ndertimi I parkut ne Sllovi</t>
  </si>
  <si>
    <t>Rregullimi qeshmes dhe infrastruktures ne Leletiq</t>
  </si>
  <si>
    <t>Hapja dhe Zhavorimi I rruges per Hanrovc</t>
  </si>
  <si>
    <t xml:space="preserve">        66320 PLANIF.URBAN.INSPEKC.-LIPJAN</t>
  </si>
  <si>
    <t xml:space="preserve">            40200 HARTIMI PROJEKTEV DETALE</t>
  </si>
  <si>
    <t xml:space="preserve">        75512 SHERBIM.REZIDENCIALE-LIPJAN</t>
  </si>
  <si>
    <t xml:space="preserve">            43098 Rregullimi i Infrastrukturës për shtëpinë rezidenciale të komuniteteve</t>
  </si>
  <si>
    <t xml:space="preserve">        85003 SHËRBIMET KULTURORE-LIPJAN</t>
  </si>
  <si>
    <t xml:space="preserve">            40209 Ndertimi i qendrës Rinore në Magure Faza II.</t>
  </si>
  <si>
    <t xml:space="preserve">            40211 NDERT.SALLE.SPORT.FSHA.LLUGA.</t>
  </si>
  <si>
    <t xml:space="preserve">            43099 Ndertimi i fushave të vogla sportive.</t>
  </si>
  <si>
    <t>Nderimi I fushes se vogel te Sportit ne Okllap</t>
  </si>
  <si>
    <t xml:space="preserve">        93060 ARSIMI FILORË-LIPJANE</t>
  </si>
  <si>
    <t xml:space="preserve">            41847 INVENTARI PËR SHKOLLAT NË FSHATRAT BUJARI DHE BUJAN</t>
  </si>
  <si>
    <t xml:space="preserve">            43106 Nxemja Qendrore në Shkollen Fillore në Rufc të Ri,Dobraj e Madhe</t>
  </si>
  <si>
    <t xml:space="preserve">            43107 Ndertimi i rrethojës në Shkollen Fillore në Babush</t>
  </si>
  <si>
    <t xml:space="preserve">            87259 NDERTIM SHKOLL.FILL.FSH.BUJARI</t>
  </si>
  <si>
    <t>87259-Ndertimi I shkolles fillore ne fshatin Bujari</t>
  </si>
  <si>
    <t xml:space="preserve">    21 TE HYRAT VETANAKE</t>
  </si>
  <si>
    <t xml:space="preserve">            40158 NDERT.RRJET.KANAL.FEKAL.MIRENE</t>
  </si>
  <si>
    <t xml:space="preserve">            40160 MIREMB.RRUG.ASFALTUARA</t>
  </si>
  <si>
    <t xml:space="preserve">            40189 KANAL.FSHATI GADIDME E ULËT</t>
  </si>
  <si>
    <t xml:space="preserve">            40190 NDERTI.RRJETIT TE KANALIZIMIT</t>
  </si>
  <si>
    <t xml:space="preserve">            41840 NDERTIMI I SHESHIT ADEM JASHARI</t>
  </si>
  <si>
    <t xml:space="preserve">            43072 Mirmbajtja dhe Rehabilitimi i  Rrjeteve te Kanalizimit</t>
  </si>
  <si>
    <t xml:space="preserve">            43073 Mirmbajtja Investive e Hapesirave Publike</t>
  </si>
  <si>
    <t xml:space="preserve">            43075 Eliminimi i Deponimeve te Egra</t>
  </si>
  <si>
    <t xml:space="preserve">            43078 Ndertimi i rrjetit të Kanalizimit në Fshatin Bujari</t>
  </si>
  <si>
    <t>Zgjerimi I rrjeteve te kanalizimeve ne Sllovi,G. eulet,Lipjan,Dob. E Vogel,Marevc,Dob. Madhe ,Magure dhe fshatrat tjera-</t>
  </si>
  <si>
    <t xml:space="preserve">Hapja dhe zgherimi I Lumenjeve ne fshatra </t>
  </si>
  <si>
    <t xml:space="preserve">            40208 NDERT.SALLES.SPORT.SHALË</t>
  </si>
  <si>
    <t xml:space="preserve">            43100 Ndertimi i Stadionit të Qytetit</t>
  </si>
  <si>
    <t xml:space="preserve">    22 TË HYRAT VETANAKE- 2015</t>
  </si>
  <si>
    <t xml:space="preserve">            40153 ASFALTIMI.RRUG.FSH.RUFC</t>
  </si>
  <si>
    <t xml:space="preserve">            40157 REH.RRJET.KANAL.FSH.KRAISHTE</t>
  </si>
  <si>
    <t xml:space="preserve">            84573 REHABI.I KANALI.FSH.BUJARI F I</t>
  </si>
  <si>
    <t xml:space="preserve">          30 PASURITË JOFINANCIARE</t>
  </si>
  <si>
    <t xml:space="preserve">            40204 NDER.SALLES SPORTEV.SH.F.DOB</t>
  </si>
  <si>
    <t xml:space="preserve">    31 GRANT I DONAT.TË MBRENDSHËM</t>
  </si>
  <si>
    <t xml:space="preserve">            72010 MEREMET.KANALIZIM NE FSH.BUJAN</t>
  </si>
  <si>
    <t xml:space="preserve">            72011 RREG.I VENDKAL.LIPJAN-SHTIME</t>
  </si>
  <si>
    <t xml:space="preserve">            72210 NDERT.KANL.FEKAL.LIPJAN-BANULL</t>
  </si>
  <si>
    <t xml:space="preserve">            72358 RREGULL.KANAL.FEKAL-MIRENE</t>
  </si>
  <si>
    <t xml:space="preserve">            92008 RREGULL.ASFA.RRUG. NE FSHATI MEDVEC</t>
  </si>
  <si>
    <t xml:space="preserve">        47003 BUJQËSIA - LIPJAN</t>
  </si>
  <si>
    <t xml:space="preserve">            72332 BLERJA E MAKINAVE MJELESE</t>
  </si>
  <si>
    <t xml:space="preserve">    61 QEVERIA ZVICRANE</t>
  </si>
  <si>
    <t xml:space="preserve">            92016 PERMIRESIMI I HAPSIRAVE PUBLIKE</t>
  </si>
  <si>
    <t xml:space="preserve">            96152 RREGULLIMI I HAPSIRAVE PUBLIKE</t>
  </si>
  <si>
    <t>Totali I Përgjithshmë</t>
  </si>
  <si>
    <t>Realizimi 2016</t>
  </si>
  <si>
    <t>indeksi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</si>
  <si>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</si>
  <si>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</si>
  <si>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</si>
  <si>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</si>
  <si>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</si>
  <si>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</si>
  <si>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</si>
  <si>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</si>
  <si>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 50020  -  TAX E PJESMARJES NË TENDER</t>
  </si>
  <si>
    <t>17503 - BUXHETIMI-</t>
  </si>
  <si>
    <t xml:space="preserve">   50002  -  TAX RRUGORE</t>
  </si>
  <si>
    <t xml:space="preserve">   40110  -  TATIMI NË PRONË</t>
  </si>
  <si>
    <t xml:space="preserve"> 50290  -  LIC.TJERA PËR AFARIZËM</t>
  </si>
  <si>
    <t xml:space="preserve">  50408  -  QIRAJA NGA OBJEKTET PUBLIKE</t>
  </si>
  <si>
    <t>16605 - INSPEKCIONI-</t>
  </si>
  <si>
    <t xml:space="preserve">   50104-  GJOBAT MANDATORE</t>
  </si>
  <si>
    <t xml:space="preserve">   50205  -  LIC.PRANIM TEKNIK TE LOKALIT</t>
  </si>
  <si>
    <t>65015 - SHËRBIMET KADASTRALE-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</si>
  <si>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</si>
  <si>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</si>
  <si>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</si>
  <si>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</si>
  <si>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</si>
  <si>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</si>
  <si>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          -TAKSE PER RRENIMIN E OBJEKTEVE</t>
  </si>
  <si>
    <t xml:space="preserve">         LARGIMI DHE DEPONIMI I AUTOMJETEVE (MARIMANGA)</t>
  </si>
  <si>
    <t xml:space="preserve"> 50405  -  SHFRYTEZIMI I PRONES PUBLIKE</t>
  </si>
  <si>
    <t xml:space="preserve">  50406  -  PRONA PUB.PER TREG.TE HAPUR</t>
  </si>
  <si>
    <t>85003 - SHËRBIMET KULTURORE-</t>
  </si>
  <si>
    <t xml:space="preserve">  50019  -  TAX TJERA ADMINISTRATIVE (RHIVA)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</si>
  <si>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</si>
  <si>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</si>
  <si>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</si>
  <si>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</si>
  <si>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</si>
  <si>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</si>
  <si>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</si>
  <si>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Realizimi 2015</t>
  </si>
  <si>
    <t>16303 - ADMINISTRATA-</t>
  </si>
  <si>
    <t xml:space="preserve"> 16715 - PROKURIMI</t>
  </si>
  <si>
    <t xml:space="preserve"> 48003 - PLANIFIKIM ZHVILLIM EKONOMIK</t>
  </si>
  <si>
    <t>66320 - PLANIFIKIM URBANIZEM INSPEKCION-</t>
  </si>
  <si>
    <t>18163 - INFRASTRUKTURA PUBLIKE</t>
  </si>
  <si>
    <t xml:space="preserve">  92250 - ARSIMI PARAFI &amp; QERDH-LIPJAN</t>
  </si>
  <si>
    <t xml:space="preserve">  GJOBAT E TRAFIKUT</t>
  </si>
  <si>
    <t xml:space="preserve">  GJOBAT E GJYKATES</t>
  </si>
  <si>
    <t xml:space="preserve">  AGJENCIONI I PYJEVE</t>
  </si>
  <si>
    <t xml:space="preserve">  DONACIONET</t>
  </si>
  <si>
    <t>Lëndet që vijen për ekzekutim nga THESARI QENDROR MF 2016</t>
  </si>
  <si>
    <t>Furnitori</t>
  </si>
  <si>
    <t>Të Paguara nga Thesari</t>
  </si>
  <si>
    <t>Shuma</t>
  </si>
  <si>
    <t>Të marrura nga:</t>
  </si>
  <si>
    <t>Prestige Media (Pastrimi Veror, Dimror)</t>
  </si>
  <si>
    <t>Permbaruesi</t>
  </si>
  <si>
    <t>Zyra e Kryetarit\Vendime Gjyqesore</t>
  </si>
  <si>
    <t>Energy Sunday(Al Trade) Trotuaret ne Lipjan</t>
  </si>
  <si>
    <t>Tv Disapora</t>
  </si>
  <si>
    <t xml:space="preserve">Salla Magure </t>
  </si>
  <si>
    <t>Gashi Ing (Asfaltimi i rrugeve te qytetit Lipjan)</t>
  </si>
  <si>
    <t>Thesari 39.2</t>
  </si>
  <si>
    <t>Totali :</t>
  </si>
  <si>
    <t xml:space="preserve">Pagat Neto </t>
  </si>
  <si>
    <t>Tatimi i ndalur në te ardhura personale</t>
  </si>
  <si>
    <t>Kontributi për pensionin e puntorve</t>
  </si>
  <si>
    <t>Kontribut për pensioni nga punëdhënsi</t>
  </si>
  <si>
    <t>Sindikata</t>
  </si>
  <si>
    <t>Shpenzimet e udhtimit brenda vendit</t>
  </si>
  <si>
    <t>Spenzimet per udhtim jasht vendit</t>
  </si>
  <si>
    <t>Meditjet per udhtim jasht vendit</t>
  </si>
  <si>
    <t>Shpenzimet per internet</t>
  </si>
  <si>
    <t>Shpenzimet tjera te Telefonit-Mobile</t>
  </si>
  <si>
    <t>Sherbimet e ndryeshme intelektuale dhe keshilldhense</t>
  </si>
  <si>
    <t>Sherbime shtypje jo marketing</t>
  </si>
  <si>
    <t>Sherbime kontraktuese tjera</t>
  </si>
  <si>
    <t>Mobilje</t>
  </si>
  <si>
    <t>Paisje tjera</t>
  </si>
  <si>
    <t>Furnizimi Zyres</t>
  </si>
  <si>
    <t>Furnizim me ushqim dhe pije (jo dreka zyrtare)</t>
  </si>
  <si>
    <t>Furnizime per higjien -pastrimi</t>
  </si>
  <si>
    <t>Furnizime me  veshmbathje</t>
  </si>
  <si>
    <t>Naft për ngrohje qendrore</t>
  </si>
  <si>
    <t>Dru</t>
  </si>
  <si>
    <t>Derivate per Gjenerator</t>
  </si>
  <si>
    <t>Karburante per vetura</t>
  </si>
  <si>
    <t>Mirmbajta dhe riparimi i automjeteve</t>
  </si>
  <si>
    <t>Mirmbajtja e shkollave</t>
  </si>
  <si>
    <t>Mirmbajtja e Teknollogjis Informative</t>
  </si>
  <si>
    <t>Mirmbajtja e mobiljeve dhe paisjeve tjera</t>
  </si>
  <si>
    <t>Dreka Zyrtare</t>
  </si>
  <si>
    <t>Shpenzimet e Energjis Elektrike</t>
  </si>
  <si>
    <t>Shpenzimet e Ujit</t>
  </si>
  <si>
    <t>Shpenzimet per Mbeturina</t>
  </si>
  <si>
    <t>Shpenzimet e PTK-së</t>
  </si>
  <si>
    <t>OBJEKTET ARSIMORE</t>
  </si>
  <si>
    <t>RRETHOJA</t>
  </si>
  <si>
    <t>92000-ARSIM DHE SHKENCE</t>
  </si>
  <si>
    <t>SHPENZIMET TOTALE</t>
  </si>
  <si>
    <t>KRAHASIMI TE HYRAT VETANAKE  2015-2016-LIPJAN       JANAR -SHTATOR</t>
  </si>
  <si>
    <t>PTK</t>
  </si>
  <si>
    <t>Thesari 39.3</t>
  </si>
  <si>
    <t>Administrata</t>
  </si>
  <si>
    <t>Planifikimi dhe realizimi i  të hyrave vetanake  JANAR-SHTATOR 2016</t>
  </si>
  <si>
    <t>Kodet Ekonomike</t>
  </si>
  <si>
    <t>Planifikimi 2016</t>
  </si>
  <si>
    <t>16303 - ADMINISTRATA</t>
  </si>
  <si>
    <t xml:space="preserve"> 16715 - PROKURIMI-</t>
  </si>
  <si>
    <t xml:space="preserve"> 48003 - PLANIFIKIM ZHVILLIM EKONOMIK-</t>
  </si>
  <si>
    <t>66320 - PLANIFIKIM URBAN.INSPEKCIONI-</t>
  </si>
  <si>
    <t>18163 - INFRASTRUKTURA PUBLIKE-</t>
  </si>
  <si>
    <t xml:space="preserve">  92250 - ARSIMI PARAFILLOR &amp; QERDHJAN-</t>
  </si>
  <si>
    <t>GJOBAT E TRAFIKUT</t>
  </si>
  <si>
    <t>GJOBAT E GJYKATES</t>
  </si>
  <si>
    <t>AGJENCIONI I PYJEVE</t>
  </si>
  <si>
    <t>DONACIONET</t>
  </si>
  <si>
    <t>PROVIZIONI</t>
  </si>
  <si>
    <t>eks</t>
  </si>
  <si>
    <t>fb</t>
  </si>
  <si>
    <t>gjithesejt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</si>
</sst>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0.00;[Red]#,##0.00"/>
  </numFmts>
  <fonts count="52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b/>
      <sz val="10"/>
      <color indexed="10"/>
      <name val="Arial"/>
      <family val="2"/>
    </font>
    <font>
      <b/>
      <i/>
      <sz val="14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sz val="14"/>
      <name val="Arial Black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3"/>
      <color indexed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indexed="8"/>
      <name val="Arial"/>
      <family val="2"/>
    </font>
    <font>
      <sz val="13"/>
      <color indexed="10"/>
      <name val="Arial"/>
      <family val="2"/>
    </font>
    <font>
      <b/>
      <sz val="13"/>
      <color indexed="10"/>
      <name val="Arial"/>
      <family val="2"/>
    </font>
    <font>
      <sz val="9"/>
      <color indexed="8"/>
      <name val="SansSerif"/>
    </font>
    <font>
      <sz val="12"/>
      <color indexed="10"/>
      <name val="Arial"/>
      <family val="2"/>
    </font>
    <font>
      <sz val="14"/>
      <name val="Arial"/>
    </font>
    <font>
      <b/>
      <sz val="14"/>
      <name val="Arial"/>
    </font>
    <font>
      <i/>
      <sz val="12"/>
      <name val="Arial"/>
      <family val="2"/>
    </font>
    <font>
      <b/>
      <i/>
      <sz val="13"/>
      <name val="Arial"/>
      <family val="2"/>
    </font>
    <font>
      <b/>
      <sz val="12"/>
      <name val="Times New Roman"/>
      <family val="1"/>
    </font>
    <font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3"/>
      <color theme="1"/>
      <name val="Calibri"/>
      <family val="2"/>
      <scheme val="minor"/>
    </font>
    <font>
      <sz val="12"/>
      <color theme="1"/>
      <name val="Arial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0"/>
      <color theme="1"/>
      <name val="Arial"/>
      <family val="2"/>
    </font>
    <font>
      <b/>
      <u/>
      <sz val="13"/>
      <name val="Arial"/>
      <family val="2"/>
    </font>
    <font>
      <b/>
      <sz val="10"/>
      <color rgb="FFFF0000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413">
    <xf numFmtId="0" fontId="0" fillId="0" borderId="0" xfId="0"/>
    <xf numFmtId="0" fontId="2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0" fillId="2" borderId="0" xfId="0" applyFill="1"/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/>
    <xf numFmtId="0" fontId="7" fillId="2" borderId="2" xfId="0" applyFont="1" applyFill="1" applyBorder="1"/>
    <xf numFmtId="0" fontId="0" fillId="2" borderId="3" xfId="0" applyFill="1" applyBorder="1"/>
    <xf numFmtId="0" fontId="8" fillId="2" borderId="2" xfId="0" applyFont="1" applyFill="1" applyBorder="1"/>
    <xf numFmtId="0" fontId="0" fillId="2" borderId="4" xfId="0" applyFill="1" applyBorder="1"/>
    <xf numFmtId="0" fontId="7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6" fontId="8" fillId="2" borderId="5" xfId="1" applyNumberFormat="1" applyFont="1" applyFill="1" applyBorder="1" applyAlignment="1">
      <alignment horizontal="center" wrapText="1"/>
    </xf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166" fontId="7" fillId="2" borderId="1" xfId="1" applyNumberFormat="1" applyFont="1" applyFill="1" applyBorder="1"/>
    <xf numFmtId="2" fontId="0" fillId="2" borderId="1" xfId="0" applyNumberFormat="1" applyFill="1" applyBorder="1"/>
    <xf numFmtId="43" fontId="0" fillId="2" borderId="1" xfId="0" applyNumberFormat="1" applyFill="1" applyBorder="1"/>
    <xf numFmtId="0" fontId="8" fillId="2" borderId="1" xfId="0" applyFont="1" applyFill="1" applyBorder="1" applyAlignment="1">
      <alignment horizontal="right"/>
    </xf>
    <xf numFmtId="166" fontId="8" fillId="2" borderId="1" xfId="1" applyNumberFormat="1" applyFont="1" applyFill="1" applyBorder="1"/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8" fillId="2" borderId="6" xfId="0" applyFont="1" applyFill="1" applyBorder="1"/>
    <xf numFmtId="0" fontId="9" fillId="2" borderId="1" xfId="0" applyFont="1" applyFill="1" applyBorder="1" applyAlignment="1"/>
    <xf numFmtId="166" fontId="7" fillId="2" borderId="1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166" fontId="7" fillId="2" borderId="0" xfId="1" applyNumberFormat="1" applyFont="1" applyFill="1" applyBorder="1" applyAlignment="1">
      <alignment wrapText="1"/>
    </xf>
    <xf numFmtId="0" fontId="7" fillId="2" borderId="0" xfId="0" applyFont="1" applyFill="1" applyBorder="1"/>
    <xf numFmtId="0" fontId="8" fillId="2" borderId="8" xfId="0" applyFont="1" applyFill="1" applyBorder="1"/>
    <xf numFmtId="0" fontId="5" fillId="0" borderId="0" xfId="0" applyFont="1" applyFill="1" applyBorder="1" applyAlignment="1">
      <alignment horizontal="right"/>
    </xf>
    <xf numFmtId="4" fontId="0" fillId="0" borderId="0" xfId="0" applyNumberFormat="1"/>
    <xf numFmtId="4" fontId="5" fillId="0" borderId="0" xfId="2" applyNumberFormat="1" applyFont="1" applyFill="1" applyBorder="1"/>
    <xf numFmtId="4" fontId="5" fillId="0" borderId="0" xfId="0" applyNumberFormat="1" applyFont="1" applyFill="1" applyBorder="1"/>
    <xf numFmtId="4" fontId="4" fillId="0" borderId="0" xfId="0" applyNumberFormat="1" applyFont="1"/>
    <xf numFmtId="0" fontId="12" fillId="0" borderId="0" xfId="0" applyFont="1" applyFill="1" applyBorder="1"/>
    <xf numFmtId="0" fontId="10" fillId="0" borderId="0" xfId="0" applyFont="1" applyFill="1" applyBorder="1" applyAlignment="1">
      <alignment horizontal="right"/>
    </xf>
    <xf numFmtId="4" fontId="10" fillId="0" borderId="0" xfId="2" applyNumberFormat="1" applyFont="1" applyFill="1" applyBorder="1"/>
    <xf numFmtId="4" fontId="10" fillId="0" borderId="0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right"/>
    </xf>
    <xf numFmtId="4" fontId="14" fillId="0" borderId="0" xfId="2" applyNumberFormat="1" applyFont="1" applyFill="1" applyBorder="1"/>
    <xf numFmtId="4" fontId="14" fillId="0" borderId="0" xfId="0" applyNumberFormat="1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 applyBorder="1"/>
    <xf numFmtId="4" fontId="10" fillId="2" borderId="0" xfId="2" applyNumberFormat="1" applyFont="1" applyFill="1" applyBorder="1"/>
    <xf numFmtId="4" fontId="10" fillId="2" borderId="0" xfId="0" applyNumberFormat="1" applyFont="1" applyFill="1" applyBorder="1"/>
    <xf numFmtId="0" fontId="15" fillId="2" borderId="0" xfId="0" applyFont="1" applyFill="1" applyBorder="1" applyAlignment="1">
      <alignment horizontal="right"/>
    </xf>
    <xf numFmtId="4" fontId="15" fillId="2" borderId="0" xfId="2" applyNumberFormat="1" applyFont="1" applyFill="1" applyBorder="1"/>
    <xf numFmtId="4" fontId="15" fillId="2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2" applyNumberFormat="1" applyFont="1" applyFill="1" applyBorder="1"/>
    <xf numFmtId="4" fontId="15" fillId="0" borderId="0" xfId="0" applyNumberFormat="1" applyFont="1" applyFill="1" applyBorder="1"/>
    <xf numFmtId="0" fontId="2" fillId="0" borderId="0" xfId="0" applyFont="1" applyFill="1" applyAlignment="1">
      <alignment horizontal="center" wrapText="1"/>
    </xf>
    <xf numFmtId="0" fontId="4" fillId="0" borderId="0" xfId="0" applyFont="1" applyFill="1"/>
    <xf numFmtId="0" fontId="13" fillId="3" borderId="9" xfId="0" applyFont="1" applyFill="1" applyBorder="1"/>
    <xf numFmtId="0" fontId="14" fillId="3" borderId="10" xfId="0" applyFont="1" applyFill="1" applyBorder="1" applyAlignment="1">
      <alignment horizontal="right"/>
    </xf>
    <xf numFmtId="4" fontId="10" fillId="3" borderId="10" xfId="2" applyNumberFormat="1" applyFont="1" applyFill="1" applyBorder="1"/>
    <xf numFmtId="4" fontId="10" fillId="3" borderId="11" xfId="0" applyNumberFormat="1" applyFont="1" applyFill="1" applyBorder="1"/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center"/>
    </xf>
    <xf numFmtId="4" fontId="15" fillId="3" borderId="14" xfId="0" applyNumberFormat="1" applyFont="1" applyFill="1" applyBorder="1"/>
    <xf numFmtId="4" fontId="2" fillId="3" borderId="15" xfId="0" applyNumberFormat="1" applyFont="1" applyFill="1" applyBorder="1" applyAlignment="1">
      <alignment horizontal="center"/>
    </xf>
    <xf numFmtId="0" fontId="16" fillId="4" borderId="16" xfId="0" applyFont="1" applyFill="1" applyBorder="1"/>
    <xf numFmtId="4" fontId="16" fillId="4" borderId="16" xfId="0" applyNumberFormat="1" applyFont="1" applyFill="1" applyBorder="1"/>
    <xf numFmtId="0" fontId="4" fillId="5" borderId="0" xfId="0" applyFont="1" applyFill="1"/>
    <xf numFmtId="0" fontId="2" fillId="5" borderId="0" xfId="0" applyFont="1" applyFill="1"/>
    <xf numFmtId="4" fontId="10" fillId="3" borderId="0" xfId="2" applyNumberFormat="1" applyFont="1" applyFill="1" applyBorder="1"/>
    <xf numFmtId="0" fontId="0" fillId="3" borderId="0" xfId="0" applyFill="1"/>
    <xf numFmtId="4" fontId="0" fillId="3" borderId="0" xfId="0" applyNumberFormat="1" applyFill="1"/>
    <xf numFmtId="4" fontId="2" fillId="3" borderId="17" xfId="0" applyNumberFormat="1" applyFont="1" applyFill="1" applyBorder="1" applyAlignment="1">
      <alignment wrapText="1"/>
    </xf>
    <xf numFmtId="10" fontId="2" fillId="0" borderId="1" xfId="0" applyNumberFormat="1" applyFont="1" applyBorder="1"/>
    <xf numFmtId="10" fontId="2" fillId="3" borderId="1" xfId="0" applyNumberFormat="1" applyFont="1" applyFill="1" applyBorder="1"/>
    <xf numFmtId="4" fontId="15" fillId="3" borderId="18" xfId="0" applyNumberFormat="1" applyFont="1" applyFill="1" applyBorder="1"/>
    <xf numFmtId="4" fontId="20" fillId="6" borderId="19" xfId="0" applyNumberFormat="1" applyFont="1" applyFill="1" applyBorder="1"/>
    <xf numFmtId="0" fontId="5" fillId="6" borderId="19" xfId="0" applyFont="1" applyFill="1" applyBorder="1"/>
    <xf numFmtId="4" fontId="5" fillId="6" borderId="19" xfId="0" applyNumberFormat="1" applyFont="1" applyFill="1" applyBorder="1"/>
    <xf numFmtId="4" fontId="20" fillId="7" borderId="19" xfId="0" applyNumberFormat="1" applyFont="1" applyFill="1" applyBorder="1"/>
    <xf numFmtId="4" fontId="5" fillId="7" borderId="19" xfId="0" applyNumberFormat="1" applyFont="1" applyFill="1" applyBorder="1" applyAlignment="1"/>
    <xf numFmtId="0" fontId="5" fillId="7" borderId="19" xfId="0" applyFont="1" applyFill="1" applyBorder="1" applyAlignment="1"/>
    <xf numFmtId="4" fontId="5" fillId="7" borderId="19" xfId="0" applyNumberFormat="1" applyFont="1" applyFill="1" applyBorder="1"/>
    <xf numFmtId="4" fontId="21" fillId="3" borderId="19" xfId="0" applyNumberFormat="1" applyFont="1" applyFill="1" applyBorder="1" applyAlignment="1">
      <alignment horizontal="left"/>
    </xf>
    <xf numFmtId="168" fontId="5" fillId="3" borderId="19" xfId="1" applyNumberFormat="1" applyFont="1" applyFill="1" applyBorder="1" applyAlignment="1">
      <alignment horizontal="center"/>
    </xf>
    <xf numFmtId="4" fontId="5" fillId="3" borderId="19" xfId="0" applyNumberFormat="1" applyFont="1" applyFill="1" applyBorder="1" applyAlignment="1">
      <alignment horizontal="center"/>
    </xf>
    <xf numFmtId="0" fontId="21" fillId="3" borderId="19" xfId="0" applyFont="1" applyFill="1" applyBorder="1"/>
    <xf numFmtId="0" fontId="20" fillId="7" borderId="19" xfId="0" applyFont="1" applyFill="1" applyBorder="1"/>
    <xf numFmtId="4" fontId="5" fillId="7" borderId="19" xfId="0" applyNumberFormat="1" applyFont="1" applyFill="1" applyBorder="1" applyAlignment="1">
      <alignment horizontal="center"/>
    </xf>
    <xf numFmtId="4" fontId="21" fillId="3" borderId="19" xfId="0" applyNumberFormat="1" applyFont="1" applyFill="1" applyBorder="1"/>
    <xf numFmtId="0" fontId="5" fillId="7" borderId="19" xfId="0" applyFont="1" applyFill="1" applyBorder="1"/>
    <xf numFmtId="0" fontId="5" fillId="3" borderId="19" xfId="0" applyFont="1" applyFill="1" applyBorder="1"/>
    <xf numFmtId="0" fontId="2" fillId="0" borderId="1" xfId="0" applyFont="1" applyBorder="1"/>
    <xf numFmtId="0" fontId="28" fillId="3" borderId="22" xfId="0" applyFont="1" applyFill="1" applyBorder="1"/>
    <xf numFmtId="0" fontId="29" fillId="3" borderId="23" xfId="0" applyFont="1" applyFill="1" applyBorder="1" applyAlignment="1">
      <alignment horizontal="right"/>
    </xf>
    <xf numFmtId="10" fontId="25" fillId="3" borderId="1" xfId="0" applyNumberFormat="1" applyFont="1" applyFill="1" applyBorder="1"/>
    <xf numFmtId="4" fontId="29" fillId="3" borderId="23" xfId="2" applyNumberFormat="1" applyFont="1" applyFill="1" applyBorder="1"/>
    <xf numFmtId="4" fontId="29" fillId="3" borderId="24" xfId="0" applyNumberFormat="1" applyFont="1" applyFill="1" applyBorder="1"/>
    <xf numFmtId="0" fontId="26" fillId="3" borderId="22" xfId="0" applyFont="1" applyFill="1" applyBorder="1"/>
    <xf numFmtId="4" fontId="29" fillId="3" borderId="25" xfId="0" applyNumberFormat="1" applyFont="1" applyFill="1" applyBorder="1"/>
    <xf numFmtId="0" fontId="27" fillId="3" borderId="22" xfId="0" applyFont="1" applyFill="1" applyBorder="1"/>
    <xf numFmtId="0" fontId="24" fillId="3" borderId="23" xfId="0" applyFont="1" applyFill="1" applyBorder="1" applyAlignment="1">
      <alignment horizontal="right"/>
    </xf>
    <xf numFmtId="10" fontId="0" fillId="0" borderId="0" xfId="0" applyNumberFormat="1"/>
    <xf numFmtId="0" fontId="30" fillId="2" borderId="0" xfId="0" applyFont="1" applyFill="1" applyBorder="1" applyAlignment="1" applyProtection="1">
      <alignment horizontal="left" vertical="top" wrapText="1"/>
    </xf>
    <xf numFmtId="4" fontId="22" fillId="2" borderId="0" xfId="0" applyNumberFormat="1" applyFont="1" applyFill="1" applyBorder="1" applyAlignment="1" applyProtection="1">
      <alignment horizontal="right" vertical="center"/>
    </xf>
    <xf numFmtId="4" fontId="0" fillId="0" borderId="0" xfId="0" applyNumberFormat="1" applyBorder="1"/>
    <xf numFmtId="0" fontId="0" fillId="0" borderId="0" xfId="0" applyBorder="1"/>
    <xf numFmtId="0" fontId="40" fillId="8" borderId="19" xfId="0" applyFont="1" applyFill="1" applyBorder="1" applyAlignment="1">
      <alignment wrapText="1"/>
    </xf>
    <xf numFmtId="4" fontId="40" fillId="8" borderId="19" xfId="0" applyNumberFormat="1" applyFont="1" applyFill="1" applyBorder="1" applyAlignment="1">
      <alignment wrapText="1"/>
    </xf>
    <xf numFmtId="4" fontId="40" fillId="8" borderId="19" xfId="0" applyNumberFormat="1" applyFont="1" applyFill="1" applyBorder="1"/>
    <xf numFmtId="10" fontId="25" fillId="8" borderId="19" xfId="0" applyNumberFormat="1" applyFont="1" applyFill="1" applyBorder="1"/>
    <xf numFmtId="10" fontId="40" fillId="8" borderId="19" xfId="0" applyNumberFormat="1" applyFont="1" applyFill="1" applyBorder="1"/>
    <xf numFmtId="4" fontId="5" fillId="9" borderId="19" xfId="0" applyNumberFormat="1" applyFont="1" applyFill="1" applyBorder="1"/>
    <xf numFmtId="10" fontId="5" fillId="9" borderId="19" xfId="0" applyNumberFormat="1" applyFont="1" applyFill="1" applyBorder="1"/>
    <xf numFmtId="4" fontId="5" fillId="9" borderId="26" xfId="0" applyNumberFormat="1" applyFont="1" applyFill="1" applyBorder="1"/>
    <xf numFmtId="10" fontId="5" fillId="9" borderId="26" xfId="0" applyNumberFormat="1" applyFont="1" applyFill="1" applyBorder="1"/>
    <xf numFmtId="4" fontId="19" fillId="9" borderId="27" xfId="0" applyNumberFormat="1" applyFont="1" applyFill="1" applyBorder="1" applyAlignment="1" applyProtection="1">
      <alignment horizontal="right" vertical="center"/>
    </xf>
    <xf numFmtId="4" fontId="19" fillId="9" borderId="28" xfId="0" applyNumberFormat="1" applyFont="1" applyFill="1" applyBorder="1" applyAlignment="1" applyProtection="1">
      <alignment horizontal="right" vertical="center"/>
    </xf>
    <xf numFmtId="10" fontId="19" fillId="9" borderId="27" xfId="0" applyNumberFormat="1" applyFont="1" applyFill="1" applyBorder="1" applyAlignment="1" applyProtection="1">
      <alignment horizontal="right" vertical="center"/>
    </xf>
    <xf numFmtId="4" fontId="5" fillId="9" borderId="29" xfId="0" applyNumberFormat="1" applyFont="1" applyFill="1" applyBorder="1"/>
    <xf numFmtId="10" fontId="5" fillId="9" borderId="30" xfId="0" applyNumberFormat="1" applyFont="1" applyFill="1" applyBorder="1"/>
    <xf numFmtId="10" fontId="5" fillId="9" borderId="31" xfId="0" applyNumberFormat="1" applyFont="1" applyFill="1" applyBorder="1"/>
    <xf numFmtId="4" fontId="5" fillId="9" borderId="33" xfId="0" applyNumberFormat="1" applyFont="1" applyFill="1" applyBorder="1"/>
    <xf numFmtId="0" fontId="3" fillId="2" borderId="35" xfId="0" applyFont="1" applyFill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3" borderId="48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3" borderId="49" xfId="0" applyFont="1" applyFill="1" applyBorder="1" applyAlignment="1">
      <alignment horizontal="left"/>
    </xf>
    <xf numFmtId="0" fontId="4" fillId="3" borderId="50" xfId="0" applyFont="1" applyFill="1" applyBorder="1"/>
    <xf numFmtId="10" fontId="6" fillId="0" borderId="1" xfId="0" applyNumberFormat="1" applyFont="1" applyBorder="1"/>
    <xf numFmtId="0" fontId="4" fillId="3" borderId="51" xfId="0" applyFont="1" applyFill="1" applyBorder="1"/>
    <xf numFmtId="0" fontId="2" fillId="5" borderId="3" xfId="0" applyFont="1" applyFill="1" applyBorder="1"/>
    <xf numFmtId="0" fontId="0" fillId="3" borderId="52" xfId="0" applyFill="1" applyBorder="1"/>
    <xf numFmtId="0" fontId="0" fillId="3" borderId="0" xfId="0" applyFill="1" applyBorder="1"/>
    <xf numFmtId="0" fontId="2" fillId="3" borderId="17" xfId="0" applyFont="1" applyFill="1" applyBorder="1" applyAlignment="1">
      <alignment horizontal="center"/>
    </xf>
    <xf numFmtId="4" fontId="2" fillId="3" borderId="53" xfId="0" applyNumberFormat="1" applyFont="1" applyFill="1" applyBorder="1" applyAlignment="1">
      <alignment horizontal="center"/>
    </xf>
    <xf numFmtId="4" fontId="2" fillId="3" borderId="53" xfId="0" applyNumberFormat="1" applyFont="1" applyFill="1" applyBorder="1" applyAlignment="1">
      <alignment wrapText="1"/>
    </xf>
    <xf numFmtId="0" fontId="7" fillId="0" borderId="53" xfId="0" applyFont="1" applyBorder="1" applyAlignment="1">
      <alignment wrapText="1"/>
    </xf>
    <xf numFmtId="10" fontId="0" fillId="3" borderId="1" xfId="0" applyNumberFormat="1" applyFill="1" applyBorder="1"/>
    <xf numFmtId="0" fontId="31" fillId="3" borderId="22" xfId="0" applyFont="1" applyFill="1" applyBorder="1"/>
    <xf numFmtId="10" fontId="15" fillId="3" borderId="1" xfId="0" applyNumberFormat="1" applyFont="1" applyFill="1" applyBorder="1"/>
    <xf numFmtId="0" fontId="4" fillId="3" borderId="50" xfId="0" applyFont="1" applyFill="1" applyBorder="1" applyAlignment="1">
      <alignment horizontal="left"/>
    </xf>
    <xf numFmtId="4" fontId="4" fillId="3" borderId="50" xfId="2" applyNumberFormat="1" applyFont="1" applyFill="1" applyBorder="1"/>
    <xf numFmtId="4" fontId="4" fillId="3" borderId="54" xfId="2" applyNumberFormat="1" applyFont="1" applyFill="1" applyBorder="1"/>
    <xf numFmtId="4" fontId="15" fillId="3" borderId="55" xfId="0" applyNumberFormat="1" applyFont="1" applyFill="1" applyBorder="1"/>
    <xf numFmtId="0" fontId="12" fillId="3" borderId="22" xfId="0" applyFont="1" applyFill="1" applyBorder="1"/>
    <xf numFmtId="0" fontId="15" fillId="3" borderId="23" xfId="0" applyFont="1" applyFill="1" applyBorder="1" applyAlignment="1">
      <alignment horizontal="right"/>
    </xf>
    <xf numFmtId="4" fontId="15" fillId="3" borderId="23" xfId="2" applyNumberFormat="1" applyFont="1" applyFill="1" applyBorder="1"/>
    <xf numFmtId="0" fontId="6" fillId="3" borderId="50" xfId="0" applyFont="1" applyFill="1" applyBorder="1"/>
    <xf numFmtId="4" fontId="6" fillId="3" borderId="50" xfId="2" applyNumberFormat="1" applyFont="1" applyFill="1" applyBorder="1"/>
    <xf numFmtId="4" fontId="6" fillId="3" borderId="54" xfId="2" applyNumberFormat="1" applyFont="1" applyFill="1" applyBorder="1"/>
    <xf numFmtId="4" fontId="15" fillId="3" borderId="56" xfId="0" applyNumberFormat="1" applyFont="1" applyFill="1" applyBorder="1"/>
    <xf numFmtId="4" fontId="6" fillId="3" borderId="51" xfId="2" applyNumberFormat="1" applyFont="1" applyFill="1" applyBorder="1"/>
    <xf numFmtId="0" fontId="2" fillId="3" borderId="57" xfId="0" applyFont="1" applyFill="1" applyBorder="1" applyAlignment="1">
      <alignment horizontal="center" wrapText="1"/>
    </xf>
    <xf numFmtId="0" fontId="7" fillId="0" borderId="58" xfId="0" applyFont="1" applyBorder="1" applyAlignment="1">
      <alignment wrapText="1"/>
    </xf>
    <xf numFmtId="4" fontId="4" fillId="3" borderId="51" xfId="2" applyNumberFormat="1" applyFont="1" applyFill="1" applyBorder="1"/>
    <xf numFmtId="4" fontId="4" fillId="3" borderId="55" xfId="2" applyNumberFormat="1" applyFont="1" applyFill="1" applyBorder="1"/>
    <xf numFmtId="0" fontId="31" fillId="3" borderId="59" xfId="0" applyFont="1" applyFill="1" applyBorder="1"/>
    <xf numFmtId="0" fontId="15" fillId="3" borderId="51" xfId="0" applyFont="1" applyFill="1" applyBorder="1" applyAlignment="1">
      <alignment horizontal="right"/>
    </xf>
    <xf numFmtId="4" fontId="15" fillId="3" borderId="51" xfId="2" applyNumberFormat="1" applyFont="1" applyFill="1" applyBorder="1"/>
    <xf numFmtId="0" fontId="3" fillId="0" borderId="0" xfId="0" applyFont="1"/>
    <xf numFmtId="0" fontId="4" fillId="3" borderId="0" xfId="0" applyFont="1" applyFill="1"/>
    <xf numFmtId="0" fontId="6" fillId="3" borderId="49" xfId="0" applyFont="1" applyFill="1" applyBorder="1"/>
    <xf numFmtId="0" fontId="6" fillId="3" borderId="59" xfId="0" applyFont="1" applyFill="1" applyBorder="1"/>
    <xf numFmtId="0" fontId="6" fillId="3" borderId="51" xfId="0" applyFont="1" applyFill="1" applyBorder="1"/>
    <xf numFmtId="0" fontId="32" fillId="0" borderId="0" xfId="0" applyFont="1"/>
    <xf numFmtId="0" fontId="33" fillId="0" borderId="0" xfId="0" applyFont="1"/>
    <xf numFmtId="168" fontId="0" fillId="0" borderId="0" xfId="0" applyNumberFormat="1"/>
    <xf numFmtId="167" fontId="8" fillId="3" borderId="61" xfId="0" applyNumberFormat="1" applyFont="1" applyFill="1" applyBorder="1"/>
    <xf numFmtId="4" fontId="6" fillId="0" borderId="0" xfId="0" applyNumberFormat="1" applyFont="1"/>
    <xf numFmtId="0" fontId="6" fillId="0" borderId="0" xfId="0" applyFont="1"/>
    <xf numFmtId="4" fontId="13" fillId="3" borderId="50" xfId="2" applyNumberFormat="1" applyFont="1" applyFill="1" applyBorder="1"/>
    <xf numFmtId="4" fontId="6" fillId="3" borderId="62" xfId="0" applyNumberFormat="1" applyFont="1" applyFill="1" applyBorder="1"/>
    <xf numFmtId="4" fontId="13" fillId="3" borderId="51" xfId="2" applyNumberFormat="1" applyFont="1" applyFill="1" applyBorder="1"/>
    <xf numFmtId="4" fontId="15" fillId="3" borderId="25" xfId="0" applyNumberFormat="1" applyFont="1" applyFill="1" applyBorder="1"/>
    <xf numFmtId="0" fontId="10" fillId="2" borderId="0" xfId="0" applyFont="1" applyFill="1" applyBorder="1" applyAlignment="1">
      <alignment horizontal="right"/>
    </xf>
    <xf numFmtId="0" fontId="2" fillId="5" borderId="52" xfId="0" applyFont="1" applyFill="1" applyBorder="1"/>
    <xf numFmtId="4" fontId="6" fillId="3" borderId="52" xfId="0" applyNumberFormat="1" applyFont="1" applyFill="1" applyBorder="1"/>
    <xf numFmtId="4" fontId="6" fillId="0" borderId="52" xfId="0" applyNumberFormat="1" applyFont="1" applyBorder="1"/>
    <xf numFmtId="4" fontId="6" fillId="3" borderId="0" xfId="0" applyNumberFormat="1" applyFont="1" applyFill="1"/>
    <xf numFmtId="4" fontId="5" fillId="3" borderId="0" xfId="2" applyNumberFormat="1" applyFont="1" applyFill="1" applyBorder="1"/>
    <xf numFmtId="4" fontId="4" fillId="3" borderId="0" xfId="0" applyNumberFormat="1" applyFont="1" applyFill="1"/>
    <xf numFmtId="0" fontId="6" fillId="0" borderId="0" xfId="0" applyFont="1" applyFill="1" applyBorder="1"/>
    <xf numFmtId="43" fontId="2" fillId="3" borderId="53" xfId="1" applyFont="1" applyFill="1" applyBorder="1" applyAlignment="1">
      <alignment wrapText="1"/>
    </xf>
    <xf numFmtId="4" fontId="14" fillId="3" borderId="0" xfId="2" applyNumberFormat="1" applyFont="1" applyFill="1" applyBorder="1"/>
    <xf numFmtId="4" fontId="10" fillId="3" borderId="61" xfId="2" applyNumberFormat="1" applyFont="1" applyFill="1" applyBorder="1"/>
    <xf numFmtId="0" fontId="2" fillId="3" borderId="63" xfId="0" applyFont="1" applyFill="1" applyBorder="1" applyAlignment="1">
      <alignment horizontal="center" wrapText="1"/>
    </xf>
    <xf numFmtId="0" fontId="2" fillId="3" borderId="64" xfId="0" applyFont="1" applyFill="1" applyBorder="1" applyAlignment="1">
      <alignment horizontal="center"/>
    </xf>
    <xf numFmtId="4" fontId="2" fillId="3" borderId="64" xfId="0" applyNumberFormat="1" applyFont="1" applyFill="1" applyBorder="1" applyAlignment="1">
      <alignment horizontal="center"/>
    </xf>
    <xf numFmtId="4" fontId="2" fillId="3" borderId="65" xfId="0" applyNumberFormat="1" applyFont="1" applyFill="1" applyBorder="1" applyAlignment="1">
      <alignment wrapText="1"/>
    </xf>
    <xf numFmtId="43" fontId="2" fillId="3" borderId="66" xfId="1" applyFont="1" applyFill="1" applyBorder="1" applyAlignment="1">
      <alignment wrapText="1"/>
    </xf>
    <xf numFmtId="0" fontId="7" fillId="0" borderId="67" xfId="0" applyFont="1" applyBorder="1" applyAlignment="1">
      <alignment wrapText="1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wrapText="1"/>
    </xf>
    <xf numFmtId="43" fontId="2" fillId="3" borderId="1" xfId="1" applyFont="1" applyFill="1" applyBorder="1" applyAlignment="1">
      <alignment wrapText="1"/>
    </xf>
    <xf numFmtId="4" fontId="16" fillId="5" borderId="16" xfId="0" applyNumberFormat="1" applyFont="1" applyFill="1" applyBorder="1"/>
    <xf numFmtId="0" fontId="4" fillId="3" borderId="54" xfId="0" applyFont="1" applyFill="1" applyBorder="1" applyAlignment="1">
      <alignment horizontal="left"/>
    </xf>
    <xf numFmtId="0" fontId="4" fillId="3" borderId="54" xfId="0" applyFont="1" applyFill="1" applyBorder="1"/>
    <xf numFmtId="0" fontId="4" fillId="3" borderId="55" xfId="0" applyFont="1" applyFill="1" applyBorder="1"/>
    <xf numFmtId="0" fontId="25" fillId="5" borderId="68" xfId="0" applyFont="1" applyFill="1" applyBorder="1"/>
    <xf numFmtId="0" fontId="4" fillId="3" borderId="49" xfId="0" applyFont="1" applyFill="1" applyBorder="1" applyAlignment="1">
      <alignment horizontal="left"/>
    </xf>
    <xf numFmtId="4" fontId="41" fillId="3" borderId="50" xfId="2" applyNumberFormat="1" applyFont="1" applyFill="1" applyBorder="1" applyAlignment="1">
      <alignment horizontal="center"/>
    </xf>
    <xf numFmtId="4" fontId="4" fillId="3" borderId="50" xfId="2" applyNumberFormat="1" applyFont="1" applyFill="1" applyBorder="1" applyAlignment="1">
      <alignment horizontal="center"/>
    </xf>
    <xf numFmtId="4" fontId="4" fillId="3" borderId="54" xfId="2" applyNumberFormat="1" applyFont="1" applyFill="1" applyBorder="1" applyAlignment="1">
      <alignment horizontal="center"/>
    </xf>
    <xf numFmtId="10" fontId="15" fillId="3" borderId="54" xfId="0" applyNumberFormat="1" applyFont="1" applyFill="1" applyBorder="1"/>
    <xf numFmtId="10" fontId="4" fillId="0" borderId="1" xfId="0" applyNumberFormat="1" applyFont="1" applyBorder="1"/>
    <xf numFmtId="4" fontId="4" fillId="3" borderId="51" xfId="2" applyNumberFormat="1" applyFont="1" applyFill="1" applyBorder="1" applyAlignment="1">
      <alignment horizontal="center"/>
    </xf>
    <xf numFmtId="0" fontId="42" fillId="3" borderId="22" xfId="0" applyFont="1" applyFill="1" applyBorder="1"/>
    <xf numFmtId="0" fontId="43" fillId="3" borderId="23" xfId="0" applyFont="1" applyFill="1" applyBorder="1" applyAlignment="1">
      <alignment horizontal="right"/>
    </xf>
    <xf numFmtId="4" fontId="43" fillId="3" borderId="23" xfId="2" applyNumberFormat="1" applyFont="1" applyFill="1" applyBorder="1" applyAlignment="1">
      <alignment horizontal="center"/>
    </xf>
    <xf numFmtId="10" fontId="43" fillId="3" borderId="69" xfId="0" applyNumberFormat="1" applyFont="1" applyFill="1" applyBorder="1"/>
    <xf numFmtId="10" fontId="43" fillId="0" borderId="1" xfId="0" applyNumberFormat="1" applyFont="1" applyBorder="1"/>
    <xf numFmtId="10" fontId="25" fillId="0" borderId="1" xfId="0" applyNumberFormat="1" applyFont="1" applyBorder="1"/>
    <xf numFmtId="0" fontId="42" fillId="3" borderId="0" xfId="0" applyFont="1" applyFill="1"/>
    <xf numFmtId="0" fontId="25" fillId="3" borderId="12" xfId="0" applyFont="1" applyFill="1" applyBorder="1" applyAlignment="1">
      <alignment horizontal="center" wrapText="1"/>
    </xf>
    <xf numFmtId="0" fontId="25" fillId="3" borderId="17" xfId="0" applyFont="1" applyFill="1" applyBorder="1" applyAlignment="1">
      <alignment horizontal="center"/>
    </xf>
    <xf numFmtId="4" fontId="25" fillId="3" borderId="53" xfId="0" applyNumberFormat="1" applyFont="1" applyFill="1" applyBorder="1" applyAlignment="1">
      <alignment horizontal="center"/>
    </xf>
    <xf numFmtId="4" fontId="25" fillId="3" borderId="53" xfId="0" applyNumberFormat="1" applyFont="1" applyFill="1" applyBorder="1" applyAlignment="1">
      <alignment wrapText="1"/>
    </xf>
    <xf numFmtId="0" fontId="25" fillId="0" borderId="53" xfId="0" applyFont="1" applyBorder="1" applyAlignment="1">
      <alignment wrapText="1"/>
    </xf>
    <xf numFmtId="0" fontId="26" fillId="0" borderId="0" xfId="0" applyFont="1"/>
    <xf numFmtId="4" fontId="4" fillId="3" borderId="1" xfId="2" applyNumberFormat="1" applyFont="1" applyFill="1" applyBorder="1" applyAlignment="1">
      <alignment horizontal="center"/>
    </xf>
    <xf numFmtId="10" fontId="4" fillId="3" borderId="1" xfId="0" applyNumberFormat="1" applyFont="1" applyFill="1" applyBorder="1"/>
    <xf numFmtId="0" fontId="4" fillId="3" borderId="59" xfId="0" applyFont="1" applyFill="1" applyBorder="1" applyAlignment="1">
      <alignment horizontal="left"/>
    </xf>
    <xf numFmtId="0" fontId="29" fillId="3" borderId="69" xfId="0" applyFont="1" applyFill="1" applyBorder="1" applyAlignment="1">
      <alignment horizontal="right"/>
    </xf>
    <xf numFmtId="4" fontId="29" fillId="3" borderId="1" xfId="2" applyNumberFormat="1" applyFont="1" applyFill="1" applyBorder="1" applyAlignment="1">
      <alignment horizontal="center"/>
    </xf>
    <xf numFmtId="10" fontId="29" fillId="3" borderId="1" xfId="0" applyNumberFormat="1" applyFont="1" applyFill="1" applyBorder="1"/>
    <xf numFmtId="10" fontId="26" fillId="3" borderId="0" xfId="0" applyNumberFormat="1" applyFont="1" applyFill="1"/>
    <xf numFmtId="0" fontId="26" fillId="3" borderId="0" xfId="0" applyFont="1" applyFill="1"/>
    <xf numFmtId="0" fontId="25" fillId="3" borderId="13" xfId="0" applyFont="1" applyFill="1" applyBorder="1" applyAlignment="1">
      <alignment horizontal="center"/>
    </xf>
    <xf numFmtId="4" fontId="34" fillId="3" borderId="50" xfId="2" applyNumberFormat="1" applyFont="1" applyFill="1" applyBorder="1" applyAlignment="1">
      <alignment horizontal="right"/>
    </xf>
    <xf numFmtId="4" fontId="4" fillId="3" borderId="50" xfId="2" applyNumberFormat="1" applyFont="1" applyFill="1" applyBorder="1" applyAlignment="1">
      <alignment horizontal="right"/>
    </xf>
    <xf numFmtId="0" fontId="25" fillId="3" borderId="57" xfId="0" applyFont="1" applyFill="1" applyBorder="1" applyAlignment="1">
      <alignment horizontal="center" wrapText="1"/>
    </xf>
    <xf numFmtId="0" fontId="25" fillId="0" borderId="58" xfId="0" applyFont="1" applyBorder="1" applyAlignment="1">
      <alignment wrapText="1"/>
    </xf>
    <xf numFmtId="0" fontId="4" fillId="3" borderId="49" xfId="0" applyFont="1" applyFill="1" applyBorder="1"/>
    <xf numFmtId="167" fontId="4" fillId="3" borderId="62" xfId="0" applyNumberFormat="1" applyFont="1" applyFill="1" applyBorder="1"/>
    <xf numFmtId="0" fontId="4" fillId="3" borderId="59" xfId="0" applyFont="1" applyFill="1" applyBorder="1"/>
    <xf numFmtId="167" fontId="4" fillId="3" borderId="55" xfId="0" applyNumberFormat="1" applyFont="1" applyFill="1" applyBorder="1"/>
    <xf numFmtId="0" fontId="29" fillId="3" borderId="23" xfId="0" applyFont="1" applyFill="1" applyBorder="1" applyAlignment="1">
      <alignment horizontal="center"/>
    </xf>
    <xf numFmtId="4" fontId="26" fillId="3" borderId="0" xfId="0" applyNumberFormat="1" applyFont="1" applyFill="1"/>
    <xf numFmtId="0" fontId="35" fillId="5" borderId="0" xfId="0" applyFont="1" applyFill="1" applyBorder="1" applyAlignment="1">
      <alignment horizontal="center"/>
    </xf>
    <xf numFmtId="4" fontId="18" fillId="3" borderId="50" xfId="2" applyNumberFormat="1" applyFont="1" applyFill="1" applyBorder="1"/>
    <xf numFmtId="4" fontId="4" fillId="3" borderId="62" xfId="0" applyNumberFormat="1" applyFont="1" applyFill="1" applyBorder="1"/>
    <xf numFmtId="4" fontId="18" fillId="3" borderId="51" xfId="2" applyNumberFormat="1" applyFont="1" applyFill="1" applyBorder="1"/>
    <xf numFmtId="4" fontId="41" fillId="3" borderId="50" xfId="2" applyNumberFormat="1" applyFont="1" applyFill="1" applyBorder="1"/>
    <xf numFmtId="4" fontId="25" fillId="3" borderId="13" xfId="0" applyNumberFormat="1" applyFont="1" applyFill="1" applyBorder="1" applyAlignment="1">
      <alignment horizontal="center"/>
    </xf>
    <xf numFmtId="4" fontId="25" fillId="3" borderId="17" xfId="0" applyNumberFormat="1" applyFont="1" applyFill="1" applyBorder="1" applyAlignment="1">
      <alignment wrapText="1"/>
    </xf>
    <xf numFmtId="0" fontId="26" fillId="3" borderId="49" xfId="0" applyFont="1" applyFill="1" applyBorder="1"/>
    <xf numFmtId="0" fontId="26" fillId="3" borderId="50" xfId="0" applyFont="1" applyFill="1" applyBorder="1"/>
    <xf numFmtId="4" fontId="26" fillId="3" borderId="50" xfId="2" applyNumberFormat="1" applyFont="1" applyFill="1" applyBorder="1"/>
    <xf numFmtId="4" fontId="27" fillId="3" borderId="50" xfId="2" applyNumberFormat="1" applyFont="1" applyFill="1" applyBorder="1"/>
    <xf numFmtId="4" fontId="26" fillId="3" borderId="54" xfId="2" applyNumberFormat="1" applyFont="1" applyFill="1" applyBorder="1"/>
    <xf numFmtId="4" fontId="26" fillId="3" borderId="62" xfId="0" applyNumberFormat="1" applyFont="1" applyFill="1" applyBorder="1"/>
    <xf numFmtId="10" fontId="26" fillId="3" borderId="1" xfId="0" applyNumberFormat="1" applyFont="1" applyFill="1" applyBorder="1"/>
    <xf numFmtId="10" fontId="26" fillId="0" borderId="1" xfId="0" applyNumberFormat="1" applyFont="1" applyBorder="1"/>
    <xf numFmtId="0" fontId="26" fillId="3" borderId="59" xfId="0" applyFont="1" applyFill="1" applyBorder="1"/>
    <xf numFmtId="4" fontId="26" fillId="3" borderId="51" xfId="2" applyNumberFormat="1" applyFont="1" applyFill="1" applyBorder="1"/>
    <xf numFmtId="4" fontId="27" fillId="3" borderId="51" xfId="2" applyNumberFormat="1" applyFont="1" applyFill="1" applyBorder="1"/>
    <xf numFmtId="4" fontId="41" fillId="3" borderId="51" xfId="2" applyNumberFormat="1" applyFont="1" applyFill="1" applyBorder="1"/>
    <xf numFmtId="4" fontId="4" fillId="3" borderId="73" xfId="0" applyNumberFormat="1" applyFont="1" applyFill="1" applyBorder="1"/>
    <xf numFmtId="0" fontId="28" fillId="4" borderId="22" xfId="0" applyFont="1" applyFill="1" applyBorder="1"/>
    <xf numFmtId="0" fontId="29" fillId="4" borderId="23" xfId="0" applyFont="1" applyFill="1" applyBorder="1" applyAlignment="1">
      <alignment horizontal="right"/>
    </xf>
    <xf numFmtId="0" fontId="26" fillId="4" borderId="0" xfId="0" applyFont="1" applyFill="1"/>
    <xf numFmtId="0" fontId="28" fillId="0" borderId="0" xfId="0" applyFont="1" applyFill="1" applyBorder="1"/>
    <xf numFmtId="0" fontId="29" fillId="0" borderId="0" xfId="0" applyFont="1" applyFill="1" applyBorder="1" applyAlignment="1">
      <alignment horizontal="right"/>
    </xf>
    <xf numFmtId="4" fontId="29" fillId="3" borderId="0" xfId="2" applyNumberFormat="1" applyFont="1" applyFill="1" applyBorder="1"/>
    <xf numFmtId="4" fontId="29" fillId="0" borderId="0" xfId="2" applyNumberFormat="1" applyFont="1" applyFill="1" applyBorder="1"/>
    <xf numFmtId="4" fontId="29" fillId="0" borderId="0" xfId="0" applyNumberFormat="1" applyFont="1" applyFill="1" applyBorder="1"/>
    <xf numFmtId="0" fontId="25" fillId="3" borderId="0" xfId="0" applyFont="1" applyFill="1" applyBorder="1"/>
    <xf numFmtId="0" fontId="25" fillId="5" borderId="0" xfId="0" applyFont="1" applyFill="1"/>
    <xf numFmtId="4" fontId="29" fillId="3" borderId="0" xfId="0" applyNumberFormat="1" applyFont="1" applyFill="1" applyBorder="1"/>
    <xf numFmtId="0" fontId="24" fillId="3" borderId="9" xfId="0" applyFont="1" applyFill="1" applyBorder="1"/>
    <xf numFmtId="0" fontId="24" fillId="5" borderId="10" xfId="0" applyFont="1" applyFill="1" applyBorder="1" applyAlignment="1">
      <alignment horizontal="left"/>
    </xf>
    <xf numFmtId="4" fontId="29" fillId="3" borderId="10" xfId="2" applyNumberFormat="1" applyFont="1" applyFill="1" applyBorder="1"/>
    <xf numFmtId="4" fontId="29" fillId="3" borderId="61" xfId="2" applyNumberFormat="1" applyFont="1" applyFill="1" applyBorder="1"/>
    <xf numFmtId="4" fontId="29" fillId="3" borderId="11" xfId="0" applyNumberFormat="1" applyFont="1" applyFill="1" applyBorder="1"/>
    <xf numFmtId="0" fontId="27" fillId="3" borderId="9" xfId="0" applyFont="1" applyFill="1" applyBorder="1"/>
    <xf numFmtId="0" fontId="24" fillId="3" borderId="10" xfId="0" applyFont="1" applyFill="1" applyBorder="1" applyAlignment="1">
      <alignment horizontal="right"/>
    </xf>
    <xf numFmtId="0" fontId="4" fillId="3" borderId="74" xfId="0" applyFont="1" applyFill="1" applyBorder="1"/>
    <xf numFmtId="0" fontId="4" fillId="3" borderId="15" xfId="0" applyFont="1" applyFill="1" applyBorder="1"/>
    <xf numFmtId="4" fontId="4" fillId="3" borderId="15" xfId="2" applyNumberFormat="1" applyFont="1" applyFill="1" applyBorder="1"/>
    <xf numFmtId="4" fontId="18" fillId="3" borderId="15" xfId="2" applyNumberFormat="1" applyFont="1" applyFill="1" applyBorder="1"/>
    <xf numFmtId="4" fontId="4" fillId="3" borderId="48" xfId="2" applyNumberFormat="1" applyFont="1" applyFill="1" applyBorder="1"/>
    <xf numFmtId="4" fontId="4" fillId="3" borderId="75" xfId="0" applyNumberFormat="1" applyFont="1" applyFill="1" applyBorder="1"/>
    <xf numFmtId="10" fontId="4" fillId="3" borderId="5" xfId="0" applyNumberFormat="1" applyFont="1" applyFill="1" applyBorder="1"/>
    <xf numFmtId="10" fontId="4" fillId="0" borderId="5" xfId="0" applyNumberFormat="1" applyFont="1" applyBorder="1"/>
    <xf numFmtId="0" fontId="27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4" fontId="26" fillId="0" borderId="0" xfId="0" applyNumberFormat="1" applyFont="1"/>
    <xf numFmtId="4" fontId="36" fillId="0" borderId="0" xfId="0" applyNumberFormat="1" applyFont="1" applyBorder="1" applyAlignment="1">
      <alignment wrapText="1"/>
    </xf>
    <xf numFmtId="0" fontId="3" fillId="4" borderId="0" xfId="0" applyFont="1" applyFill="1"/>
    <xf numFmtId="10" fontId="3" fillId="5" borderId="1" xfId="0" applyNumberFormat="1" applyFont="1" applyFill="1" applyBorder="1"/>
    <xf numFmtId="0" fontId="37" fillId="0" borderId="0" xfId="0" applyFont="1"/>
    <xf numFmtId="0" fontId="0" fillId="0" borderId="7" xfId="0" applyBorder="1"/>
    <xf numFmtId="0" fontId="4" fillId="0" borderId="7" xfId="0" applyFont="1" applyBorder="1"/>
    <xf numFmtId="0" fontId="0" fillId="0" borderId="0" xfId="0" applyAlignment="1">
      <alignment horizontal="left"/>
    </xf>
    <xf numFmtId="0" fontId="3" fillId="10" borderId="0" xfId="0" applyFont="1" applyFill="1" applyAlignment="1">
      <alignment horizontal="center" wrapText="1"/>
    </xf>
    <xf numFmtId="0" fontId="11" fillId="5" borderId="0" xfId="0" applyFont="1" applyFill="1" applyBorder="1" applyAlignment="1">
      <alignment horizontal="center"/>
    </xf>
    <xf numFmtId="0" fontId="19" fillId="9" borderId="32" xfId="0" applyFont="1" applyFill="1" applyBorder="1" applyAlignment="1" applyProtection="1">
      <alignment vertical="center" wrapText="1"/>
    </xf>
    <xf numFmtId="0" fontId="19" fillId="9" borderId="33" xfId="0" applyFont="1" applyFill="1" applyBorder="1" applyAlignment="1" applyProtection="1">
      <alignment vertical="center" wrapText="1"/>
    </xf>
    <xf numFmtId="0" fontId="26" fillId="0" borderId="7" xfId="0" applyFont="1" applyBorder="1"/>
    <xf numFmtId="0" fontId="25" fillId="0" borderId="7" xfId="0" applyFont="1" applyBorder="1"/>
    <xf numFmtId="0" fontId="2" fillId="0" borderId="7" xfId="0" applyFont="1" applyBorder="1"/>
    <xf numFmtId="0" fontId="25" fillId="14" borderId="7" xfId="0" applyFont="1" applyFill="1" applyBorder="1"/>
    <xf numFmtId="0" fontId="25" fillId="14" borderId="0" xfId="0" applyFont="1" applyFill="1"/>
    <xf numFmtId="4" fontId="18" fillId="2" borderId="1" xfId="0" applyNumberFormat="1" applyFont="1" applyFill="1" applyBorder="1" applyAlignment="1" applyProtection="1">
      <alignment horizontal="right" vertical="center"/>
    </xf>
    <xf numFmtId="0" fontId="23" fillId="13" borderId="52" xfId="0" applyFont="1" applyFill="1" applyBorder="1" applyAlignment="1" applyProtection="1">
      <alignment horizontal="left" vertical="center"/>
    </xf>
    <xf numFmtId="0" fontId="18" fillId="2" borderId="1" xfId="0" applyFont="1" applyFill="1" applyBorder="1" applyAlignment="1" applyProtection="1">
      <alignment horizontal="left" vertical="center"/>
    </xf>
    <xf numFmtId="0" fontId="23" fillId="13" borderId="1" xfId="0" applyFont="1" applyFill="1" applyBorder="1" applyAlignment="1" applyProtection="1">
      <alignment horizontal="left" vertical="center"/>
    </xf>
    <xf numFmtId="4" fontId="17" fillId="13" borderId="1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8" fillId="3" borderId="1" xfId="0" applyFont="1" applyFill="1" applyBorder="1" applyAlignment="1" applyProtection="1">
      <alignment horizontal="left" vertical="center"/>
    </xf>
    <xf numFmtId="4" fontId="18" fillId="3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center" wrapText="1"/>
    </xf>
    <xf numFmtId="0" fontId="39" fillId="2" borderId="36" xfId="0" applyFont="1" applyFill="1" applyBorder="1" applyAlignment="1" applyProtection="1">
      <alignment horizontal="center" vertical="center"/>
    </xf>
    <xf numFmtId="0" fontId="23" fillId="13" borderId="1" xfId="0" applyFont="1" applyFill="1" applyBorder="1" applyAlignment="1" applyProtection="1">
      <alignment horizontal="center" vertical="center"/>
    </xf>
    <xf numFmtId="4" fontId="23" fillId="13" borderId="1" xfId="0" applyNumberFormat="1" applyFont="1" applyFill="1" applyBorder="1" applyAlignment="1" applyProtection="1">
      <alignment horizontal="right" vertical="center"/>
    </xf>
    <xf numFmtId="0" fontId="38" fillId="15" borderId="1" xfId="0" applyFont="1" applyFill="1" applyBorder="1" applyAlignment="1" applyProtection="1">
      <alignment horizontal="left" vertical="center"/>
    </xf>
    <xf numFmtId="4" fontId="38" fillId="15" borderId="1" xfId="0" applyNumberFormat="1" applyFont="1" applyFill="1" applyBorder="1" applyAlignment="1" applyProtection="1">
      <alignment horizontal="right" vertical="center"/>
    </xf>
    <xf numFmtId="0" fontId="24" fillId="2" borderId="1" xfId="0" applyFont="1" applyFill="1" applyBorder="1" applyAlignment="1" applyProtection="1">
      <alignment horizontal="center" vertical="center" wrapText="1"/>
    </xf>
    <xf numFmtId="4" fontId="25" fillId="3" borderId="19" xfId="0" applyNumberFormat="1" applyFont="1" applyFill="1" applyBorder="1" applyAlignment="1">
      <alignment horizontal="left"/>
    </xf>
    <xf numFmtId="168" fontId="25" fillId="3" borderId="19" xfId="1" applyNumberFormat="1" applyFont="1" applyFill="1" applyBorder="1" applyAlignment="1">
      <alignment horizontal="center"/>
    </xf>
    <xf numFmtId="4" fontId="25" fillId="3" borderId="19" xfId="0" applyNumberFormat="1" applyFont="1" applyFill="1" applyBorder="1" applyAlignment="1">
      <alignment horizontal="center"/>
    </xf>
    <xf numFmtId="0" fontId="25" fillId="3" borderId="19" xfId="0" applyFont="1" applyFill="1" applyBorder="1"/>
    <xf numFmtId="0" fontId="45" fillId="7" borderId="19" xfId="0" applyFont="1" applyFill="1" applyBorder="1"/>
    <xf numFmtId="168" fontId="25" fillId="7" borderId="19" xfId="1" applyNumberFormat="1" applyFont="1" applyFill="1" applyBorder="1" applyAlignment="1">
      <alignment horizontal="center"/>
    </xf>
    <xf numFmtId="4" fontId="25" fillId="7" borderId="19" xfId="0" applyNumberFormat="1" applyFont="1" applyFill="1" applyBorder="1" applyAlignment="1">
      <alignment horizontal="center"/>
    </xf>
    <xf numFmtId="4" fontId="45" fillId="7" borderId="19" xfId="0" applyNumberFormat="1" applyFont="1" applyFill="1" applyBorder="1"/>
    <xf numFmtId="4" fontId="25" fillId="3" borderId="19" xfId="0" applyNumberFormat="1" applyFont="1" applyFill="1" applyBorder="1"/>
    <xf numFmtId="168" fontId="25" fillId="3" borderId="19" xfId="0" applyNumberFormat="1" applyFont="1" applyFill="1" applyBorder="1" applyAlignment="1">
      <alignment horizontal="center"/>
    </xf>
    <xf numFmtId="2" fontId="25" fillId="3" borderId="19" xfId="0" applyNumberFormat="1" applyFont="1" applyFill="1" applyBorder="1" applyAlignment="1">
      <alignment horizontal="center"/>
    </xf>
    <xf numFmtId="0" fontId="25" fillId="7" borderId="19" xfId="0" applyFont="1" applyFill="1" applyBorder="1"/>
    <xf numFmtId="4" fontId="45" fillId="6" borderId="19" xfId="0" applyNumberFormat="1" applyFont="1" applyFill="1" applyBorder="1"/>
    <xf numFmtId="0" fontId="25" fillId="6" borderId="19" xfId="0" applyFont="1" applyFill="1" applyBorder="1"/>
    <xf numFmtId="4" fontId="25" fillId="6" borderId="19" xfId="0" applyNumberFormat="1" applyFont="1" applyFill="1" applyBorder="1"/>
    <xf numFmtId="4" fontId="44" fillId="3" borderId="19" xfId="0" applyNumberFormat="1" applyFont="1" applyFill="1" applyBorder="1" applyAlignment="1">
      <alignment horizontal="center"/>
    </xf>
    <xf numFmtId="4" fontId="46" fillId="3" borderId="19" xfId="0" applyNumberFormat="1" applyFont="1" applyFill="1" applyBorder="1" applyAlignment="1">
      <alignment horizontal="center"/>
    </xf>
    <xf numFmtId="4" fontId="47" fillId="2" borderId="1" xfId="0" applyNumberFormat="1" applyFont="1" applyFill="1" applyBorder="1" applyAlignment="1" applyProtection="1">
      <alignment horizontal="right" vertical="center"/>
    </xf>
    <xf numFmtId="4" fontId="48" fillId="2" borderId="1" xfId="0" applyNumberFormat="1" applyFont="1" applyFill="1" applyBorder="1" applyAlignment="1" applyProtection="1">
      <alignment horizontal="right" vertical="center"/>
    </xf>
    <xf numFmtId="0" fontId="48" fillId="2" borderId="1" xfId="0" applyNumberFormat="1" applyFont="1" applyFill="1" applyBorder="1" applyAlignment="1" applyProtection="1">
      <alignment horizontal="right" vertical="center"/>
    </xf>
    <xf numFmtId="4" fontId="48" fillId="2" borderId="1" xfId="0" applyNumberFormat="1" applyFont="1" applyFill="1" applyBorder="1" applyAlignment="1" applyProtection="1">
      <alignment horizontal="left" vertical="center"/>
    </xf>
    <xf numFmtId="4" fontId="47" fillId="14" borderId="1" xfId="0" applyNumberFormat="1" applyFont="1" applyFill="1" applyBorder="1" applyAlignment="1" applyProtection="1">
      <alignment horizontal="right" vertical="center"/>
    </xf>
    <xf numFmtId="0" fontId="23" fillId="2" borderId="1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left" vertical="center" wrapText="1"/>
    </xf>
    <xf numFmtId="0" fontId="38" fillId="2" borderId="1" xfId="0" applyFont="1" applyFill="1" applyBorder="1" applyAlignment="1" applyProtection="1">
      <alignment horizontal="left" vertical="center" wrapText="1"/>
    </xf>
    <xf numFmtId="0" fontId="38" fillId="2" borderId="1" xfId="0" applyFont="1" applyFill="1" applyBorder="1" applyAlignment="1" applyProtection="1">
      <alignment vertical="center" wrapText="1"/>
    </xf>
    <xf numFmtId="4" fontId="24" fillId="2" borderId="47" xfId="0" applyNumberFormat="1" applyFont="1" applyFill="1" applyBorder="1" applyAlignment="1" applyProtection="1">
      <alignment horizontal="right" vertical="center" wrapText="1"/>
    </xf>
    <xf numFmtId="4" fontId="18" fillId="2" borderId="47" xfId="0" applyNumberFormat="1" applyFont="1" applyFill="1" applyBorder="1" applyAlignment="1" applyProtection="1">
      <alignment horizontal="right" vertical="center" wrapText="1"/>
    </xf>
    <xf numFmtId="4" fontId="27" fillId="2" borderId="47" xfId="0" applyNumberFormat="1" applyFont="1" applyFill="1" applyBorder="1" applyAlignment="1" applyProtection="1">
      <alignment horizontal="right" vertical="center" wrapText="1"/>
    </xf>
    <xf numFmtId="4" fontId="17" fillId="2" borderId="47" xfId="0" applyNumberFormat="1" applyFont="1" applyFill="1" applyBorder="1" applyAlignment="1" applyProtection="1">
      <alignment horizontal="right" vertical="center" wrapText="1"/>
    </xf>
    <xf numFmtId="4" fontId="24" fillId="14" borderId="47" xfId="0" applyNumberFormat="1" applyFont="1" applyFill="1" applyBorder="1" applyAlignment="1" applyProtection="1">
      <alignment horizontal="right" vertical="center" wrapText="1"/>
    </xf>
    <xf numFmtId="0" fontId="38" fillId="2" borderId="1" xfId="0" applyFont="1" applyFill="1" applyBorder="1" applyAlignment="1" applyProtection="1">
      <alignment horizontal="center" vertical="center" wrapText="1"/>
    </xf>
    <xf numFmtId="0" fontId="23" fillId="14" borderId="1" xfId="0" applyFont="1" applyFill="1" applyBorder="1" applyAlignment="1" applyProtection="1">
      <alignment horizontal="center" vertical="center" wrapText="1"/>
    </xf>
    <xf numFmtId="0" fontId="50" fillId="0" borderId="5" xfId="0" applyFont="1" applyBorder="1"/>
    <xf numFmtId="4" fontId="50" fillId="0" borderId="5" xfId="0" applyNumberFormat="1" applyFont="1" applyBorder="1"/>
    <xf numFmtId="0" fontId="50" fillId="0" borderId="1" xfId="0" applyFont="1" applyBorder="1"/>
    <xf numFmtId="4" fontId="50" fillId="0" borderId="1" xfId="0" applyNumberFormat="1" applyFont="1" applyBorder="1"/>
    <xf numFmtId="0" fontId="51" fillId="0" borderId="21" xfId="0" applyFont="1" applyBorder="1"/>
    <xf numFmtId="0" fontId="51" fillId="0" borderId="20" xfId="0" applyFont="1" applyBorder="1"/>
    <xf numFmtId="4" fontId="51" fillId="0" borderId="20" xfId="0" applyNumberFormat="1" applyFont="1" applyBorder="1"/>
    <xf numFmtId="0" fontId="49" fillId="0" borderId="20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7" fillId="2" borderId="34" xfId="0" applyFont="1" applyFill="1" applyBorder="1" applyAlignment="1">
      <alignment horizontal="center" wrapText="1"/>
    </xf>
    <xf numFmtId="0" fontId="7" fillId="2" borderId="35" xfId="0" applyFont="1" applyFill="1" applyBorder="1" applyAlignment="1">
      <alignment horizontal="center" wrapText="1"/>
    </xf>
    <xf numFmtId="0" fontId="7" fillId="2" borderId="36" xfId="0" applyFont="1" applyFill="1" applyBorder="1" applyAlignment="1">
      <alignment horizontal="center" wrapText="1"/>
    </xf>
    <xf numFmtId="0" fontId="7" fillId="2" borderId="37" xfId="0" applyFont="1" applyFill="1" applyBorder="1" applyAlignment="1">
      <alignment horizontal="left"/>
    </xf>
    <xf numFmtId="0" fontId="8" fillId="2" borderId="38" xfId="0" applyFont="1" applyFill="1" applyBorder="1" applyAlignment="1">
      <alignment horizontal="left"/>
    </xf>
    <xf numFmtId="0" fontId="8" fillId="2" borderId="39" xfId="0" applyFont="1" applyFill="1" applyBorder="1" applyAlignment="1">
      <alignment horizontal="left"/>
    </xf>
    <xf numFmtId="0" fontId="3" fillId="10" borderId="0" xfId="0" applyFont="1" applyFill="1" applyAlignment="1">
      <alignment horizontal="center" wrapText="1"/>
    </xf>
    <xf numFmtId="49" fontId="2" fillId="0" borderId="45" xfId="0" applyNumberFormat="1" applyFont="1" applyBorder="1" applyAlignment="1">
      <alignment horizontal="center"/>
    </xf>
    <xf numFmtId="49" fontId="2" fillId="0" borderId="46" xfId="0" applyNumberFormat="1" applyFont="1" applyBorder="1" applyAlignment="1">
      <alignment horizontal="center"/>
    </xf>
    <xf numFmtId="0" fontId="2" fillId="12" borderId="47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60" xfId="0" applyFont="1" applyFill="1" applyBorder="1" applyAlignment="1">
      <alignment horizontal="center"/>
    </xf>
    <xf numFmtId="0" fontId="35" fillId="5" borderId="70" xfId="0" applyFont="1" applyFill="1" applyBorder="1" applyAlignment="1">
      <alignment horizontal="center"/>
    </xf>
    <xf numFmtId="0" fontId="35" fillId="5" borderId="71" xfId="0" applyFont="1" applyFill="1" applyBorder="1" applyAlignment="1">
      <alignment horizontal="center"/>
    </xf>
    <xf numFmtId="0" fontId="35" fillId="5" borderId="7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3" fillId="2" borderId="77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22" fillId="2" borderId="0" xfId="0" applyNumberFormat="1" applyFont="1" applyFill="1" applyBorder="1" applyAlignment="1" applyProtection="1">
      <alignment horizontal="right" vertical="center" wrapText="1"/>
    </xf>
    <xf numFmtId="0" fontId="19" fillId="9" borderId="40" xfId="0" applyFont="1" applyFill="1" applyBorder="1" applyAlignment="1" applyProtection="1">
      <alignment horizontal="left" vertical="center" wrapText="1"/>
    </xf>
    <xf numFmtId="0" fontId="19" fillId="9" borderId="32" xfId="0" applyFont="1" applyFill="1" applyBorder="1" applyAlignment="1" applyProtection="1">
      <alignment horizontal="left" vertical="center" wrapText="1"/>
    </xf>
    <xf numFmtId="0" fontId="19" fillId="9" borderId="33" xfId="0" applyFont="1" applyFill="1" applyBorder="1" applyAlignment="1" applyProtection="1">
      <alignment horizontal="left" vertical="center" wrapText="1"/>
    </xf>
    <xf numFmtId="0" fontId="19" fillId="9" borderId="40" xfId="0" applyFont="1" applyFill="1" applyBorder="1" applyAlignment="1" applyProtection="1">
      <alignment vertical="center" wrapText="1"/>
    </xf>
    <xf numFmtId="0" fontId="19" fillId="9" borderId="32" xfId="0" applyFont="1" applyFill="1" applyBorder="1" applyAlignment="1" applyProtection="1">
      <alignment vertical="center" wrapText="1"/>
    </xf>
    <xf numFmtId="0" fontId="19" fillId="9" borderId="33" xfId="0" applyFont="1" applyFill="1" applyBorder="1" applyAlignment="1" applyProtection="1">
      <alignment vertical="center" wrapText="1"/>
    </xf>
    <xf numFmtId="0" fontId="24" fillId="8" borderId="19" xfId="0" applyFont="1" applyFill="1" applyBorder="1" applyAlignment="1" applyProtection="1">
      <alignment horizontal="center" vertical="center" wrapText="1"/>
    </xf>
    <xf numFmtId="0" fontId="19" fillId="9" borderId="19" xfId="0" applyFont="1" applyFill="1" applyBorder="1" applyAlignment="1" applyProtection="1">
      <alignment horizontal="left" vertical="center" wrapText="1"/>
    </xf>
    <xf numFmtId="0" fontId="19" fillId="9" borderId="26" xfId="0" applyFont="1" applyFill="1" applyBorder="1" applyAlignment="1" applyProtection="1">
      <alignment horizontal="left" vertical="center" wrapText="1"/>
    </xf>
    <xf numFmtId="0" fontId="19" fillId="9" borderId="29" xfId="0" applyFont="1" applyFill="1" applyBorder="1" applyAlignment="1" applyProtection="1">
      <alignment horizontal="left" vertical="center" wrapText="1"/>
    </xf>
    <xf numFmtId="0" fontId="24" fillId="8" borderId="19" xfId="0" applyFont="1" applyFill="1" applyBorder="1" applyAlignment="1" applyProtection="1">
      <alignment horizontal="left" vertical="center" wrapText="1"/>
    </xf>
    <xf numFmtId="0" fontId="2" fillId="11" borderId="41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19" fillId="9" borderId="42" xfId="0" applyFont="1" applyFill="1" applyBorder="1" applyAlignment="1" applyProtection="1">
      <alignment horizontal="left" vertical="center" wrapText="1"/>
    </xf>
    <xf numFmtId="0" fontId="19" fillId="9" borderId="43" xfId="0" applyFont="1" applyFill="1" applyBorder="1" applyAlignment="1" applyProtection="1">
      <alignment horizontal="left" vertical="center" wrapText="1"/>
    </xf>
    <xf numFmtId="0" fontId="19" fillId="9" borderId="44" xfId="0" applyFont="1" applyFill="1" applyBorder="1" applyAlignment="1" applyProtection="1">
      <alignment horizontal="left" vertical="center" wrapText="1"/>
    </xf>
    <xf numFmtId="0" fontId="19" fillId="9" borderId="27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9" fillId="0" borderId="0" xfId="0" applyFont="1" applyBorder="1" applyAlignment="1">
      <alignment horizontal="center" wrapText="1"/>
    </xf>
  </cellXfs>
  <cellStyles count="4">
    <cellStyle name="Comma" xfId="1" builtinId="3"/>
    <cellStyle name="Comma_Sheet1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43-47A2-96F4-EF0262412934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43-47A2-96F4-EF0262412934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43-47A2-96F4-EF0262412934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34376"/>
        <c:axId val="202542952"/>
      </c:barChart>
      <c:catAx>
        <c:axId val="20253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4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42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34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'Raporti Janar-Qershor 2016'!#REF!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D0-46D2-AA5F-FE95FE9E53F3}"/>
            </c:ext>
          </c:extLst>
        </c:ser>
        <c:ser>
          <c:idx val="1"/>
          <c:order val="1"/>
          <c:tx>
            <c:v>'Raporti Janar-Qershor 2016'!#REF!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D0-46D2-AA5F-FE95FE9E5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95048"/>
        <c:axId val="154996616"/>
      </c:barChart>
      <c:catAx>
        <c:axId val="154995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6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96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5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'Raporti Janar-Qershor 2016'!#REF!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EB-4A9A-B04C-3D61EA07EAD5}"/>
            </c:ext>
          </c:extLst>
        </c:ser>
        <c:ser>
          <c:idx val="1"/>
          <c:order val="1"/>
          <c:tx>
            <c:v>'Raporti Janar-Qershor 2016'!#REF!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EB-4A9A-B04C-3D61EA07EAD5}"/>
            </c:ext>
          </c:extLst>
        </c:ser>
        <c:ser>
          <c:idx val="2"/>
          <c:order val="2"/>
          <c:tx>
            <c:v>'Raporti Janar-Qershor 2016'!#REF!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EB-4A9A-B04C-3D61EA07E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00928"/>
        <c:axId val="155001320"/>
      </c:barChart>
      <c:catAx>
        <c:axId val="1550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01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001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00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1C-481A-81F7-52C89BFD4C7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1C-481A-81F7-52C89BFD4C7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07600"/>
        <c:axId val="202607984"/>
      </c:barChart>
      <c:catAx>
        <c:axId val="20260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0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60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07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13-42F5-BA42-2CCB669BBC3A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13-42F5-BA42-2CCB669BBC3A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92592"/>
        <c:axId val="202692976"/>
      </c:barChart>
      <c:catAx>
        <c:axId val="20269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9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692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92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F5-42AE-8660-20C4D436826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F5-42AE-8660-20C4D436826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35784"/>
        <c:axId val="202740264"/>
      </c:barChart>
      <c:catAx>
        <c:axId val="20273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740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357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B-4A61-B316-01CF8A08EB00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B-4A61-B316-01CF8A08EB00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82832"/>
        <c:axId val="202787312"/>
      </c:barChart>
      <c:catAx>
        <c:axId val="20278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8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78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82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B8-459C-9983-2CF18FED467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B8-459C-9983-2CF18FED467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97008"/>
        <c:axId val="154997400"/>
      </c:barChart>
      <c:catAx>
        <c:axId val="15499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7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97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7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'Raporti Janar-Qershor 2016'!#REF!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EC-4AF4-B707-E4838FF3876E}"/>
            </c:ext>
          </c:extLst>
        </c:ser>
        <c:ser>
          <c:idx val="1"/>
          <c:order val="1"/>
          <c:tx>
            <c:v>'Raporti Janar-Qershor 2016'!#REF!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EC-4AF4-B707-E4838FF3876E}"/>
            </c:ext>
          </c:extLst>
        </c:ser>
        <c:ser>
          <c:idx val="2"/>
          <c:order val="2"/>
          <c:tx>
            <c:v>'Raporti Janar-Qershor 2016'!#REF!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EC-4AF4-B707-E4838FF38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98184"/>
        <c:axId val="154998576"/>
      </c:barChart>
      <c:catAx>
        <c:axId val="154998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9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8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'Raporti Janar-Qershor 2016'!#REF!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4D-4CDF-A04B-12190B3DA584}"/>
            </c:ext>
          </c:extLst>
        </c:ser>
        <c:ser>
          <c:idx val="1"/>
          <c:order val="1"/>
          <c:tx>
            <c:v>'Raporti Janar-Qershor 2016'!#REF!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4D-4CDF-A04B-12190B3DA584}"/>
            </c:ext>
          </c:extLst>
        </c:ser>
        <c:ser>
          <c:idx val="2"/>
          <c:order val="2"/>
          <c:tx>
            <c:v>'Raporti Janar-Qershor 2016'!#REF!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4D-4CDF-A04B-12190B3D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99360"/>
        <c:axId val="154999752"/>
      </c:barChart>
      <c:catAx>
        <c:axId val="15499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9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99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93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'Raporti Janar-Qershor 2016'!#REF!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29-4056-9EDA-1E9931F94E96}"/>
            </c:ext>
          </c:extLst>
        </c:ser>
        <c:ser>
          <c:idx val="1"/>
          <c:order val="1"/>
          <c:tx>
            <c:v>'Raporti Janar-Qershor 2016'!#REF!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29-4056-9EDA-1E9931F94E96}"/>
            </c:ext>
          </c:extLst>
        </c:ser>
        <c:ser>
          <c:idx val="2"/>
          <c:order val="2"/>
          <c:tx>
            <c:v>'Raporti Janar-Qershor 2016'!#REF!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'Raporti Janar-Shtator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29-4056-9EDA-1E9931F94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96224"/>
        <c:axId val="154995832"/>
      </c:barChart>
      <c:catAx>
        <c:axId val="15499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5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95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96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28" name="Chart 7">
          <a:extLst>
            <a:ext uri="{FF2B5EF4-FFF2-40B4-BE49-F238E27FC236}">
              <a16:creationId xmlns="" xmlns:a16="http://schemas.microsoft.com/office/drawing/2014/main" id="{00000000-0008-0000-0000-0000A0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29" name="Chart 8">
          <a:extLst>
            <a:ext uri="{FF2B5EF4-FFF2-40B4-BE49-F238E27FC236}">
              <a16:creationId xmlns="" xmlns:a16="http://schemas.microsoft.com/office/drawing/2014/main" id="{00000000-0008-0000-0000-0000A1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30" name="Chart 9">
          <a:extLst>
            <a:ext uri="{FF2B5EF4-FFF2-40B4-BE49-F238E27FC236}">
              <a16:creationId xmlns="" xmlns:a16="http://schemas.microsoft.com/office/drawing/2014/main" id="{00000000-0008-0000-0000-0000A2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31" name="Chart 10">
          <a:extLst>
            <a:ext uri="{FF2B5EF4-FFF2-40B4-BE49-F238E27FC236}">
              <a16:creationId xmlns="" xmlns:a16="http://schemas.microsoft.com/office/drawing/2014/main" id="{00000000-0008-0000-0000-0000A3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32" name="Chart 11">
          <a:extLst>
            <a:ext uri="{FF2B5EF4-FFF2-40B4-BE49-F238E27FC236}">
              <a16:creationId xmlns="" xmlns:a16="http://schemas.microsoft.com/office/drawing/2014/main" id="{00000000-0008-0000-0000-0000A4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33" name="Chart 12">
          <a:extLst>
            <a:ext uri="{FF2B5EF4-FFF2-40B4-BE49-F238E27FC236}">
              <a16:creationId xmlns="" xmlns:a16="http://schemas.microsoft.com/office/drawing/2014/main" id="{00000000-0008-0000-0000-0000A5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34" name="Chart 19">
          <a:extLst>
            <a:ext uri="{FF2B5EF4-FFF2-40B4-BE49-F238E27FC236}">
              <a16:creationId xmlns="" xmlns:a16="http://schemas.microsoft.com/office/drawing/2014/main" id="{00000000-0008-0000-0000-0000A6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35" name="Chart 20">
          <a:extLst>
            <a:ext uri="{FF2B5EF4-FFF2-40B4-BE49-F238E27FC236}">
              <a16:creationId xmlns="" xmlns:a16="http://schemas.microsoft.com/office/drawing/2014/main" id="{00000000-0008-0000-0000-0000A7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36" name="Chart 21">
          <a:extLst>
            <a:ext uri="{FF2B5EF4-FFF2-40B4-BE49-F238E27FC236}">
              <a16:creationId xmlns="" xmlns:a16="http://schemas.microsoft.com/office/drawing/2014/main" id="{00000000-0008-0000-0000-0000A8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37" name="Chart 22">
          <a:extLst>
            <a:ext uri="{FF2B5EF4-FFF2-40B4-BE49-F238E27FC236}">
              <a16:creationId xmlns="" xmlns:a16="http://schemas.microsoft.com/office/drawing/2014/main" id="{00000000-0008-0000-0000-0000A9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298</xdr:row>
      <xdr:rowOff>0</xdr:rowOff>
    </xdr:from>
    <xdr:to>
      <xdr:col>7</xdr:col>
      <xdr:colOff>0</xdr:colOff>
      <xdr:row>298</xdr:row>
      <xdr:rowOff>0</xdr:rowOff>
    </xdr:to>
    <xdr:graphicFrame macro="">
      <xdr:nvGraphicFramePr>
        <xdr:cNvPr id="5069738" name="Chart 24">
          <a:extLst>
            <a:ext uri="{FF2B5EF4-FFF2-40B4-BE49-F238E27FC236}">
              <a16:creationId xmlns="" xmlns:a16="http://schemas.microsoft.com/office/drawing/2014/main" id="{00000000-0008-0000-0000-0000AA5B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2</xdr:col>
      <xdr:colOff>2333625</xdr:colOff>
      <xdr:row>0</xdr:row>
      <xdr:rowOff>0</xdr:rowOff>
    </xdr:from>
    <xdr:to>
      <xdr:col>3</xdr:col>
      <xdr:colOff>666750</xdr:colOff>
      <xdr:row>2</xdr:row>
      <xdr:rowOff>485775</xdr:rowOff>
    </xdr:to>
    <xdr:pic>
      <xdr:nvPicPr>
        <xdr:cNvPr id="5069739" name="Picture 2">
          <a:extLst>
            <a:ext uri="{FF2B5EF4-FFF2-40B4-BE49-F238E27FC236}">
              <a16:creationId xmlns="" xmlns:a16="http://schemas.microsoft.com/office/drawing/2014/main" id="{00000000-0008-0000-0000-0000AB5B4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486775" y="0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ta%20Ahmeti/Desktop/TE%20HYRA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et ditore"/>
      <sheetName val="Janar"/>
      <sheetName val="Shkurt"/>
      <sheetName val="Mars"/>
      <sheetName val="Prill"/>
      <sheetName val="Maj "/>
      <sheetName val="Qershor"/>
      <sheetName val="Korrik"/>
      <sheetName val="Gusht"/>
      <sheetName val="Shtator"/>
      <sheetName val="Tetor"/>
      <sheetName val="Vjetore 2016"/>
      <sheetName val="Planifikimi dhe Realizi 2016"/>
      <sheetName val="Krahasimi"/>
      <sheetName val="2015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N4">
            <v>20620</v>
          </cell>
        </row>
        <row r="5">
          <cell r="N5">
            <v>2009.5</v>
          </cell>
        </row>
        <row r="6">
          <cell r="N6">
            <v>658</v>
          </cell>
        </row>
        <row r="7">
          <cell r="N7">
            <v>15134</v>
          </cell>
        </row>
        <row r="8">
          <cell r="N8">
            <v>4973.75</v>
          </cell>
        </row>
        <row r="9">
          <cell r="N9">
            <v>0</v>
          </cell>
        </row>
        <row r="10">
          <cell r="N10">
            <v>957</v>
          </cell>
        </row>
        <row r="11">
          <cell r="N11">
            <v>453.44</v>
          </cell>
        </row>
        <row r="13">
          <cell r="N13">
            <v>180</v>
          </cell>
        </row>
        <row r="15">
          <cell r="N15">
            <v>76720.3</v>
          </cell>
        </row>
        <row r="16">
          <cell r="N16">
            <v>639925.58000000007</v>
          </cell>
        </row>
        <row r="18">
          <cell r="N18">
            <v>0</v>
          </cell>
        </row>
        <row r="19">
          <cell r="N19">
            <v>23336.300000000003</v>
          </cell>
        </row>
        <row r="21">
          <cell r="N21">
            <v>0</v>
          </cell>
        </row>
        <row r="22">
          <cell r="N22">
            <v>2525</v>
          </cell>
        </row>
        <row r="24">
          <cell r="N24">
            <v>30141</v>
          </cell>
        </row>
        <row r="25">
          <cell r="N25">
            <v>32918.5</v>
          </cell>
        </row>
        <row r="26">
          <cell r="N26">
            <v>30379</v>
          </cell>
        </row>
        <row r="28">
          <cell r="N28">
            <v>234632.75999999998</v>
          </cell>
        </row>
        <row r="29">
          <cell r="N29">
            <v>52774.1</v>
          </cell>
        </row>
        <row r="30">
          <cell r="N30">
            <v>13081.8</v>
          </cell>
        </row>
        <row r="31">
          <cell r="N31">
            <v>0</v>
          </cell>
        </row>
        <row r="33">
          <cell r="N33">
            <v>0</v>
          </cell>
        </row>
        <row r="34">
          <cell r="N34">
            <v>4363.6400000000003</v>
          </cell>
        </row>
        <row r="35">
          <cell r="N35">
            <v>21909.199999999997</v>
          </cell>
        </row>
        <row r="37">
          <cell r="N37">
            <v>312.25</v>
          </cell>
        </row>
        <row r="38">
          <cell r="N38">
            <v>86.4</v>
          </cell>
        </row>
        <row r="39">
          <cell r="N39">
            <v>1208091.52</v>
          </cell>
        </row>
        <row r="40">
          <cell r="N40">
            <v>18537.5</v>
          </cell>
        </row>
        <row r="41">
          <cell r="N41">
            <v>28427.599999999999</v>
          </cell>
        </row>
        <row r="42">
          <cell r="N42">
            <v>5683.5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1260740.1200000001</v>
          </cell>
        </row>
        <row r="46">
          <cell r="N46">
            <v>22859.5</v>
          </cell>
        </row>
        <row r="47">
          <cell r="N47">
            <v>27640</v>
          </cell>
        </row>
        <row r="48">
          <cell r="N48">
            <v>0</v>
          </cell>
        </row>
        <row r="49">
          <cell r="N49">
            <v>1311239.6200000001</v>
          </cell>
        </row>
        <row r="50">
          <cell r="N50">
            <v>75515</v>
          </cell>
        </row>
        <row r="51">
          <cell r="N51">
            <v>1386754.62</v>
          </cell>
        </row>
        <row r="52">
          <cell r="N52">
            <v>1645.5</v>
          </cell>
        </row>
      </sheetData>
      <sheetData sheetId="12" refreshError="1"/>
      <sheetData sheetId="13" refreshError="1"/>
      <sheetData sheetId="14" refreshError="1">
        <row r="4">
          <cell r="O4">
            <v>10863</v>
          </cell>
        </row>
        <row r="5">
          <cell r="O5">
            <v>879.25</v>
          </cell>
        </row>
        <row r="6">
          <cell r="O6">
            <v>303.5</v>
          </cell>
        </row>
        <row r="7">
          <cell r="O7">
            <v>18764.75</v>
          </cell>
        </row>
        <row r="8">
          <cell r="O8">
            <v>6541</v>
          </cell>
        </row>
        <row r="9">
          <cell r="O9">
            <v>4678.8599999999997</v>
          </cell>
        </row>
        <row r="10">
          <cell r="O10">
            <v>1097.5</v>
          </cell>
        </row>
        <row r="11">
          <cell r="O11">
            <v>0</v>
          </cell>
        </row>
        <row r="13">
          <cell r="O13">
            <v>180</v>
          </cell>
        </row>
        <row r="15">
          <cell r="O15">
            <v>73091.5</v>
          </cell>
        </row>
        <row r="16">
          <cell r="O16">
            <v>461957.99999999994</v>
          </cell>
        </row>
        <row r="18">
          <cell r="O18">
            <v>0</v>
          </cell>
        </row>
        <row r="19">
          <cell r="O19">
            <v>45519.54</v>
          </cell>
        </row>
        <row r="21">
          <cell r="O21">
            <v>690</v>
          </cell>
        </row>
        <row r="22">
          <cell r="O22">
            <v>4550</v>
          </cell>
        </row>
        <row r="24">
          <cell r="O24">
            <v>26570</v>
          </cell>
        </row>
        <row r="25">
          <cell r="O25">
            <v>36099</v>
          </cell>
        </row>
        <row r="26">
          <cell r="O26">
            <v>21830.32</v>
          </cell>
        </row>
        <row r="28">
          <cell r="O28">
            <v>110185.1</v>
          </cell>
        </row>
        <row r="29">
          <cell r="O29">
            <v>62314.3</v>
          </cell>
        </row>
        <row r="30">
          <cell r="O30">
            <v>0</v>
          </cell>
        </row>
        <row r="31">
          <cell r="O31">
            <v>0</v>
          </cell>
        </row>
        <row r="33">
          <cell r="O33">
            <v>0</v>
          </cell>
        </row>
        <row r="34">
          <cell r="O34">
            <v>1249.5</v>
          </cell>
        </row>
        <row r="35">
          <cell r="O35">
            <v>25061.3</v>
          </cell>
        </row>
        <row r="37">
          <cell r="O37">
            <v>414</v>
          </cell>
        </row>
        <row r="38">
          <cell r="O38">
            <v>490</v>
          </cell>
        </row>
        <row r="39">
          <cell r="O39">
            <v>913330.42</v>
          </cell>
        </row>
        <row r="40">
          <cell r="O40">
            <v>17770.5</v>
          </cell>
        </row>
        <row r="41">
          <cell r="O41">
            <v>25913.5</v>
          </cell>
        </row>
        <row r="42">
          <cell r="O42">
            <v>5930.8</v>
          </cell>
        </row>
        <row r="43">
          <cell r="O43">
            <v>210</v>
          </cell>
        </row>
        <row r="44">
          <cell r="O44">
            <v>0</v>
          </cell>
        </row>
        <row r="45">
          <cell r="O45">
            <v>963155.22000000009</v>
          </cell>
        </row>
        <row r="46">
          <cell r="O46">
            <v>23133</v>
          </cell>
        </row>
        <row r="47">
          <cell r="O47">
            <v>45795</v>
          </cell>
        </row>
        <row r="48">
          <cell r="O48">
            <v>0</v>
          </cell>
        </row>
        <row r="49">
          <cell r="O49">
            <v>1032083.2200000001</v>
          </cell>
        </row>
        <row r="50">
          <cell r="O50">
            <v>8000</v>
          </cell>
        </row>
        <row r="51">
          <cell r="O51">
            <v>1040083.2200000001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6"/>
  <sheetViews>
    <sheetView showWhiteSpace="0" zoomScaleNormal="100" zoomScaleSheetLayoutView="85" workbookViewId="0">
      <selection activeCell="A17" sqref="A17:XFD17"/>
    </sheetView>
  </sheetViews>
  <sheetFormatPr defaultRowHeight="12.75"/>
  <cols>
    <col min="1" max="1" width="21.140625" customWidth="1"/>
    <col min="2" max="2" width="71.140625" customWidth="1"/>
    <col min="3" max="3" width="35.42578125" customWidth="1"/>
    <col min="4" max="4" width="31.5703125" customWidth="1"/>
    <col min="5" max="5" width="36.85546875" customWidth="1"/>
    <col min="6" max="6" width="20.85546875" customWidth="1"/>
    <col min="7" max="7" width="19.85546875" customWidth="1"/>
    <col min="8" max="8" width="14.85546875" customWidth="1"/>
    <col min="9" max="9" width="15.140625" customWidth="1"/>
  </cols>
  <sheetData>
    <row r="1" spans="1:9" ht="12.75" customHeight="1">
      <c r="A1" s="366" t="s">
        <v>0</v>
      </c>
      <c r="B1" s="366"/>
      <c r="C1" s="366"/>
      <c r="D1" s="366"/>
      <c r="E1" s="366"/>
      <c r="F1" s="366"/>
      <c r="G1" s="366"/>
      <c r="H1" s="366"/>
      <c r="I1" s="366"/>
    </row>
    <row r="2" spans="1:9" ht="12.75" customHeight="1">
      <c r="A2" s="366"/>
      <c r="B2" s="366"/>
      <c r="C2" s="366"/>
      <c r="D2" s="366"/>
      <c r="E2" s="366"/>
      <c r="F2" s="366"/>
      <c r="G2" s="366"/>
      <c r="H2" s="366"/>
      <c r="I2" s="366"/>
    </row>
    <row r="3" spans="1:9" ht="56.25" customHeight="1">
      <c r="A3" s="366"/>
      <c r="B3" s="366"/>
      <c r="C3" s="366"/>
      <c r="D3" s="366"/>
      <c r="E3" s="366"/>
      <c r="F3" s="366"/>
      <c r="G3" s="366"/>
      <c r="H3" s="366"/>
      <c r="I3" s="366"/>
    </row>
    <row r="4" spans="1:9" ht="38.25" customHeight="1">
      <c r="A4" s="373" t="s">
        <v>1</v>
      </c>
      <c r="B4" s="373"/>
      <c r="C4" s="373"/>
      <c r="D4" s="373"/>
      <c r="E4" s="373"/>
      <c r="F4" s="373"/>
      <c r="G4" s="373"/>
      <c r="H4" s="373"/>
      <c r="I4" s="301"/>
    </row>
    <row r="5" spans="1:9" ht="27.75" customHeight="1">
      <c r="A5" s="58" t="s">
        <v>2</v>
      </c>
      <c r="B5" s="58"/>
      <c r="C5" s="58"/>
      <c r="D5" s="58"/>
      <c r="E5" s="58"/>
      <c r="F5" s="58"/>
      <c r="G5" s="59"/>
      <c r="H5" s="2"/>
      <c r="I5" s="2"/>
    </row>
    <row r="6" spans="1:9" ht="18" hidden="1">
      <c r="A6" s="48"/>
      <c r="B6" s="47"/>
      <c r="C6" s="2"/>
      <c r="D6" s="2"/>
      <c r="E6" s="2"/>
      <c r="F6" s="2"/>
      <c r="G6" s="2"/>
      <c r="H6" s="2"/>
      <c r="I6" s="2"/>
    </row>
    <row r="7" spans="1:9" ht="18.75" thickBot="1">
      <c r="A7" s="127"/>
      <c r="B7" s="204" t="s">
        <v>3</v>
      </c>
      <c r="C7" s="374">
        <v>2015</v>
      </c>
      <c r="D7" s="375"/>
      <c r="E7" s="376">
        <v>2016</v>
      </c>
      <c r="F7" s="377"/>
      <c r="G7" s="128">
        <v>2015</v>
      </c>
      <c r="H7" s="129">
        <v>2016</v>
      </c>
      <c r="I7" s="96" t="s">
        <v>4</v>
      </c>
    </row>
    <row r="8" spans="1:9" ht="32.25" thickTop="1">
      <c r="A8" s="64" t="s">
        <v>5</v>
      </c>
      <c r="B8" s="65" t="s">
        <v>5</v>
      </c>
      <c r="C8" s="68" t="s">
        <v>6</v>
      </c>
      <c r="D8" s="68" t="s">
        <v>7</v>
      </c>
      <c r="E8" s="68" t="s">
        <v>6</v>
      </c>
      <c r="F8" s="68" t="s">
        <v>7</v>
      </c>
      <c r="G8" s="130" t="s">
        <v>8</v>
      </c>
      <c r="H8" s="130" t="s">
        <v>8</v>
      </c>
      <c r="I8" s="131" t="s">
        <v>9</v>
      </c>
    </row>
    <row r="9" spans="1:9" s="2" customFormat="1" ht="15.75">
      <c r="A9" s="205">
        <v>10</v>
      </c>
      <c r="B9" s="133" t="s">
        <v>10</v>
      </c>
      <c r="C9" s="206">
        <v>9077150.8599999994</v>
      </c>
      <c r="D9" s="206">
        <v>7804234.5300000003</v>
      </c>
      <c r="E9" s="207">
        <v>9134367.5399999991</v>
      </c>
      <c r="F9" s="208">
        <v>8005562.8799999999</v>
      </c>
      <c r="G9" s="209">
        <f>D9/C9</f>
        <v>0.85976697428161952</v>
      </c>
      <c r="H9" s="145">
        <f>F9/E9</f>
        <v>0.87642224214682751</v>
      </c>
      <c r="I9" s="210">
        <f>F9/D9-100%</f>
        <v>2.5797321854703403E-2</v>
      </c>
    </row>
    <row r="10" spans="1:9" s="2" customFormat="1" ht="15.75">
      <c r="A10" s="205">
        <v>21</v>
      </c>
      <c r="B10" s="133" t="s">
        <v>11</v>
      </c>
      <c r="C10" s="207">
        <v>941752.2</v>
      </c>
      <c r="D10" s="207">
        <v>629162.53</v>
      </c>
      <c r="E10" s="207">
        <v>1174933.3799999999</v>
      </c>
      <c r="F10" s="208">
        <v>568315.75</v>
      </c>
      <c r="G10" s="209">
        <f>D10/C10</f>
        <v>0.66807651736836937</v>
      </c>
      <c r="H10" s="145">
        <f>F10/E10</f>
        <v>0.48370040350713334</v>
      </c>
      <c r="I10" s="210">
        <f>F10/D10-100%</f>
        <v>-9.6710749764452819E-2</v>
      </c>
    </row>
    <row r="11" spans="1:9" s="2" customFormat="1" ht="15.75">
      <c r="A11" s="205">
        <v>22</v>
      </c>
      <c r="B11" s="133" t="s">
        <v>11</v>
      </c>
      <c r="C11" s="211">
        <v>1000334.49</v>
      </c>
      <c r="D11" s="211">
        <v>839152.2</v>
      </c>
      <c r="E11" s="207">
        <v>540717.61</v>
      </c>
      <c r="F11" s="208">
        <v>380056.59</v>
      </c>
      <c r="G11" s="209">
        <f>D11/C11</f>
        <v>0.83887160583656373</v>
      </c>
      <c r="H11" s="145">
        <f>F11/E11</f>
        <v>0.70287444494363704</v>
      </c>
      <c r="I11" s="210">
        <f>F11/D11-100%</f>
        <v>-0.54709456758857322</v>
      </c>
    </row>
    <row r="12" spans="1:9" s="2" customFormat="1" ht="15.75">
      <c r="A12" s="205" t="s">
        <v>12</v>
      </c>
      <c r="B12" s="135" t="s">
        <v>13</v>
      </c>
      <c r="C12" s="211">
        <f>486.52+8000</f>
        <v>8486.52</v>
      </c>
      <c r="D12" s="211">
        <f>238.96+7929.5</f>
        <v>8168.46</v>
      </c>
      <c r="E12" s="207">
        <f>5247.56+70515+2</f>
        <v>75764.56</v>
      </c>
      <c r="F12" s="208">
        <f>70275</f>
        <v>70275</v>
      </c>
      <c r="G12" s="209">
        <f>D12/C12</f>
        <v>0.96252174036000615</v>
      </c>
      <c r="H12" s="145">
        <f>F12/E12</f>
        <v>0.92754448781857901</v>
      </c>
      <c r="I12" s="210">
        <f>F12/D12-100%</f>
        <v>7.6032128455057624</v>
      </c>
    </row>
    <row r="13" spans="1:9" s="218" customFormat="1" ht="20.25" customHeight="1" thickBot="1">
      <c r="A13" s="212"/>
      <c r="B13" s="213" t="s">
        <v>14</v>
      </c>
      <c r="C13" s="214">
        <f>C9+C10+C11+C12</f>
        <v>11027724.069999998</v>
      </c>
      <c r="D13" s="214">
        <f>D9+D10+D11+D12</f>
        <v>9280717.7200000007</v>
      </c>
      <c r="E13" s="214">
        <f>E9+E10+E11+E12</f>
        <v>10925783.089999998</v>
      </c>
      <c r="F13" s="214">
        <f>F9+F10+F11+F12</f>
        <v>9024210.2199999988</v>
      </c>
      <c r="G13" s="215">
        <f>D13/C13</f>
        <v>0.84158051662241151</v>
      </c>
      <c r="H13" s="216">
        <f>F13/E13</f>
        <v>0.82595546201713954</v>
      </c>
      <c r="I13" s="217">
        <f>F13/D13-100%</f>
        <v>-2.7638756800805075E-2</v>
      </c>
    </row>
    <row r="14" spans="1:9" ht="20.25" customHeight="1" thickTop="1" thickBot="1">
      <c r="A14" s="48"/>
      <c r="B14" s="136" t="s">
        <v>15</v>
      </c>
      <c r="C14" s="71"/>
      <c r="D14" s="38"/>
      <c r="E14" s="2"/>
      <c r="F14" s="2"/>
      <c r="G14" s="2"/>
      <c r="H14" s="137"/>
      <c r="I14" s="138"/>
    </row>
    <row r="15" spans="1:9" s="224" customFormat="1" ht="30.75" customHeight="1" thickTop="1">
      <c r="A15" s="219" t="s">
        <v>5</v>
      </c>
      <c r="B15" s="220" t="s">
        <v>5</v>
      </c>
      <c r="C15" s="221" t="s">
        <v>6</v>
      </c>
      <c r="D15" s="221" t="s">
        <v>7</v>
      </c>
      <c r="E15" s="221" t="s">
        <v>6</v>
      </c>
      <c r="F15" s="221" t="s">
        <v>7</v>
      </c>
      <c r="G15" s="222" t="s">
        <v>16</v>
      </c>
      <c r="H15" s="222" t="s">
        <v>16</v>
      </c>
      <c r="I15" s="223" t="s">
        <v>9</v>
      </c>
    </row>
    <row r="16" spans="1:9" s="2" customFormat="1" ht="20.25" customHeight="1">
      <c r="A16" s="205"/>
      <c r="B16" s="201" t="s">
        <v>17</v>
      </c>
      <c r="C16" s="225">
        <f>6330202.72+13633.33+30116.52</f>
        <v>6373952.5699999994</v>
      </c>
      <c r="D16" s="225">
        <v>6371452.5700000003</v>
      </c>
      <c r="E16" s="225">
        <v>6463182.2800000003</v>
      </c>
      <c r="F16" s="225">
        <v>6534402.9800000004</v>
      </c>
      <c r="G16" s="145">
        <f t="shared" ref="G16:G21" si="0">D16/C16</f>
        <v>0.9996077786942178</v>
      </c>
      <c r="H16" s="226">
        <f t="shared" ref="H16:H21" si="1">F16/E16</f>
        <v>1.011019447837699</v>
      </c>
      <c r="I16" s="210">
        <f t="shared" ref="I16:I21" si="2">F16/D16-100%</f>
        <v>2.5575080126508665E-2</v>
      </c>
    </row>
    <row r="17" spans="1:11" s="2" customFormat="1" ht="20.25" customHeight="1">
      <c r="A17" s="205"/>
      <c r="B17" s="202" t="s">
        <v>18</v>
      </c>
      <c r="C17" s="225">
        <f>654288.3+120008.36+288763.44+2.35+8000</f>
        <v>1071062.4500000002</v>
      </c>
      <c r="D17" s="225">
        <v>601519.82999999996</v>
      </c>
      <c r="E17" s="225">
        <v>820446.87</v>
      </c>
      <c r="F17" s="225">
        <v>456100.14</v>
      </c>
      <c r="G17" s="145">
        <f t="shared" si="0"/>
        <v>0.56161041776789</v>
      </c>
      <c r="H17" s="226">
        <f t="shared" si="1"/>
        <v>0.55591672864813291</v>
      </c>
      <c r="I17" s="210">
        <f t="shared" si="2"/>
        <v>-0.24175377559871958</v>
      </c>
    </row>
    <row r="18" spans="1:11" s="2" customFormat="1" ht="20.25" customHeight="1">
      <c r="A18" s="205"/>
      <c r="B18" s="202" t="s">
        <v>19</v>
      </c>
      <c r="C18" s="225">
        <f>120872.67+51731.02</f>
        <v>172603.69</v>
      </c>
      <c r="D18" s="225">
        <v>133561</v>
      </c>
      <c r="E18" s="225">
        <v>351105.02</v>
      </c>
      <c r="F18" s="225">
        <v>188597</v>
      </c>
      <c r="G18" s="145">
        <f t="shared" si="0"/>
        <v>0.77380153344346225</v>
      </c>
      <c r="H18" s="226">
        <f t="shared" si="1"/>
        <v>0.53715267300934633</v>
      </c>
      <c r="I18" s="210">
        <f t="shared" si="2"/>
        <v>0.41206639662775801</v>
      </c>
    </row>
    <row r="19" spans="1:11" s="2" customFormat="1" ht="20.25" customHeight="1">
      <c r="A19" s="205"/>
      <c r="B19" s="202" t="s">
        <v>20</v>
      </c>
      <c r="C19" s="225">
        <f>1915608.24+677237.84+600678.53+484.17</f>
        <v>3194008.7800000003</v>
      </c>
      <c r="D19" s="225">
        <v>2046289.08</v>
      </c>
      <c r="E19" s="225">
        <v>3132023.72</v>
      </c>
      <c r="F19" s="225">
        <v>1739995.24</v>
      </c>
      <c r="G19" s="145">
        <f t="shared" si="0"/>
        <v>0.64066482622505494</v>
      </c>
      <c r="H19" s="226">
        <f t="shared" si="1"/>
        <v>0.55554982833910338</v>
      </c>
      <c r="I19" s="210">
        <f t="shared" si="2"/>
        <v>-0.14968258541456914</v>
      </c>
    </row>
    <row r="20" spans="1:11" s="2" customFormat="1" ht="20.25" customHeight="1">
      <c r="A20" s="227"/>
      <c r="B20" s="203" t="s">
        <v>21</v>
      </c>
      <c r="C20" s="225">
        <f>177051.6+10000+29044.98</f>
        <v>216096.58000000002</v>
      </c>
      <c r="D20" s="225">
        <v>127895.24</v>
      </c>
      <c r="E20" s="225">
        <v>159025.20000000001</v>
      </c>
      <c r="F20" s="225">
        <v>105114.86</v>
      </c>
      <c r="G20" s="145">
        <f t="shared" si="0"/>
        <v>0.59184296206816411</v>
      </c>
      <c r="H20" s="226">
        <f t="shared" si="1"/>
        <v>0.66099498695804182</v>
      </c>
      <c r="I20" s="210">
        <f t="shared" si="2"/>
        <v>-0.17811749678877808</v>
      </c>
    </row>
    <row r="21" spans="1:11" s="232" customFormat="1" ht="20.25" customHeight="1" thickBot="1">
      <c r="A21" s="97"/>
      <c r="B21" s="228" t="s">
        <v>14</v>
      </c>
      <c r="C21" s="229">
        <f>SUM(C16:C20)</f>
        <v>11027724.07</v>
      </c>
      <c r="D21" s="229">
        <f>D16+D17+D18+D19+D20</f>
        <v>9280717.7200000007</v>
      </c>
      <c r="E21" s="229">
        <f>E16+E17+E18+E19+E20</f>
        <v>10925783.09</v>
      </c>
      <c r="F21" s="229">
        <f>F16+F17+F18+F19+F20</f>
        <v>9024210.2199999988</v>
      </c>
      <c r="G21" s="230">
        <f t="shared" si="0"/>
        <v>0.84158051662241129</v>
      </c>
      <c r="H21" s="99">
        <f t="shared" si="1"/>
        <v>0.82595546201713943</v>
      </c>
      <c r="I21" s="217">
        <f t="shared" si="2"/>
        <v>-2.7638756800805075E-2</v>
      </c>
      <c r="J21" s="231"/>
    </row>
    <row r="22" spans="1:11" ht="20.25" customHeight="1" thickTop="1" thickBot="1">
      <c r="A22" s="49"/>
      <c r="B22" s="136" t="s">
        <v>22</v>
      </c>
      <c r="C22" s="50"/>
      <c r="D22" s="50"/>
      <c r="E22" s="50"/>
      <c r="F22" s="50"/>
      <c r="G22" s="51"/>
      <c r="H22" s="74"/>
      <c r="I22" s="74"/>
    </row>
    <row r="23" spans="1:11" s="224" customFormat="1" ht="33.75" thickTop="1">
      <c r="A23" s="219" t="s">
        <v>5</v>
      </c>
      <c r="B23" s="233" t="s">
        <v>23</v>
      </c>
      <c r="C23" s="221" t="s">
        <v>6</v>
      </c>
      <c r="D23" s="221" t="s">
        <v>7</v>
      </c>
      <c r="E23" s="221" t="s">
        <v>6</v>
      </c>
      <c r="F23" s="221" t="s">
        <v>7</v>
      </c>
      <c r="G23" s="222" t="s">
        <v>16</v>
      </c>
      <c r="H23" s="222" t="s">
        <v>16</v>
      </c>
      <c r="I23" s="223" t="s">
        <v>24</v>
      </c>
    </row>
    <row r="24" spans="1:11" s="2" customFormat="1" ht="15.75">
      <c r="A24" s="205">
        <v>10</v>
      </c>
      <c r="B24" s="146" t="s">
        <v>17</v>
      </c>
      <c r="C24" s="234">
        <v>6330202.7199999997</v>
      </c>
      <c r="D24" s="147">
        <v>6330202.7199999997</v>
      </c>
      <c r="E24" s="147">
        <v>6439105.54</v>
      </c>
      <c r="F24" s="148">
        <v>6522685.7400000002</v>
      </c>
      <c r="G24" s="67">
        <f>D24*100/C24</f>
        <v>100</v>
      </c>
      <c r="H24" s="226">
        <f t="shared" ref="H24:H29" si="3">F24/E24</f>
        <v>1.0129800947477559</v>
      </c>
      <c r="I24" s="210">
        <f t="shared" ref="I24:I29" si="4">F24/D24-100%</f>
        <v>3.0407086236252656E-2</v>
      </c>
    </row>
    <row r="25" spans="1:11" s="2" customFormat="1" ht="15.75">
      <c r="A25" s="205">
        <v>10</v>
      </c>
      <c r="B25" s="133" t="s">
        <v>25</v>
      </c>
      <c r="C25" s="235">
        <v>654288.30000000005</v>
      </c>
      <c r="D25" s="147">
        <v>312873.7</v>
      </c>
      <c r="E25" s="147">
        <v>636195</v>
      </c>
      <c r="F25" s="148">
        <f>339508.12-3804.48</f>
        <v>335703.64</v>
      </c>
      <c r="G25" s="67">
        <f>D25*100/C25</f>
        <v>47.818935475385999</v>
      </c>
      <c r="H25" s="226">
        <f t="shared" si="3"/>
        <v>0.52767412507171541</v>
      </c>
      <c r="I25" s="210">
        <f t="shared" si="4"/>
        <v>7.2968549290016949E-2</v>
      </c>
    </row>
    <row r="26" spans="1:11" s="2" customFormat="1" ht="15.75">
      <c r="A26" s="205">
        <v>10</v>
      </c>
      <c r="B26" s="133" t="s">
        <v>26</v>
      </c>
      <c r="C26" s="235">
        <v>177051.6</v>
      </c>
      <c r="D26" s="147">
        <v>107244.5</v>
      </c>
      <c r="E26" s="147">
        <v>147340</v>
      </c>
      <c r="F26" s="148">
        <v>99851.73</v>
      </c>
      <c r="G26" s="67">
        <f>D26*100/C26</f>
        <v>60.572454583861429</v>
      </c>
      <c r="H26" s="226">
        <f t="shared" si="3"/>
        <v>0.67769600923035156</v>
      </c>
      <c r="I26" s="210">
        <f t="shared" si="4"/>
        <v>-6.8933791476486039E-2</v>
      </c>
    </row>
    <row r="27" spans="1:11" s="2" customFormat="1" ht="15.75">
      <c r="A27" s="205">
        <v>10</v>
      </c>
      <c r="B27" s="133" t="s">
        <v>20</v>
      </c>
      <c r="C27" s="147">
        <v>1915608.24</v>
      </c>
      <c r="D27" s="147">
        <v>1053913.6100000001</v>
      </c>
      <c r="E27" s="147">
        <v>1885627</v>
      </c>
      <c r="F27" s="148">
        <v>1047321.77</v>
      </c>
      <c r="G27" s="67">
        <f>D27*100/C27</f>
        <v>55.017178773463627</v>
      </c>
      <c r="H27" s="226">
        <f t="shared" si="3"/>
        <v>0.55542361771442605</v>
      </c>
      <c r="I27" s="210">
        <f t="shared" si="4"/>
        <v>-6.2546303012446236E-3</v>
      </c>
      <c r="K27" s="38"/>
    </row>
    <row r="28" spans="1:11" s="2" customFormat="1" ht="15.75">
      <c r="A28" s="227">
        <v>10</v>
      </c>
      <c r="B28" s="202" t="s">
        <v>19</v>
      </c>
      <c r="C28" s="160">
        <v>0</v>
      </c>
      <c r="D28" s="160">
        <v>0</v>
      </c>
      <c r="E28" s="160">
        <v>26100</v>
      </c>
      <c r="F28" s="161">
        <v>0</v>
      </c>
      <c r="G28" s="149" t="e">
        <f>D28*100/C28</f>
        <v>#DIV/0!</v>
      </c>
      <c r="H28" s="226">
        <f t="shared" si="3"/>
        <v>0</v>
      </c>
      <c r="I28" s="210" t="e">
        <f t="shared" si="4"/>
        <v>#DIV/0!</v>
      </c>
      <c r="K28" s="38"/>
    </row>
    <row r="29" spans="1:11" s="232" customFormat="1" ht="20.25" customHeight="1" thickBot="1">
      <c r="A29" s="97"/>
      <c r="B29" s="98" t="s">
        <v>14</v>
      </c>
      <c r="C29" s="100">
        <f>SUM(C24:C28)</f>
        <v>9077150.8599999994</v>
      </c>
      <c r="D29" s="100">
        <f>SUM(D24:D28)</f>
        <v>7804234.5300000003</v>
      </c>
      <c r="E29" s="100">
        <f>SUM(E24:E28)</f>
        <v>9134367.5399999991</v>
      </c>
      <c r="F29" s="100">
        <f>SUM(F24:F28)</f>
        <v>8005562.8800000008</v>
      </c>
      <c r="G29" s="100">
        <f>D29/C29*100</f>
        <v>85.976697428161955</v>
      </c>
      <c r="H29" s="99">
        <f t="shared" si="3"/>
        <v>0.87642224214682751</v>
      </c>
      <c r="I29" s="217">
        <f t="shared" si="4"/>
        <v>2.5797321854703403E-2</v>
      </c>
    </row>
    <row r="30" spans="1:11" ht="11.25" customHeight="1" thickTop="1" thickBot="1">
      <c r="A30" s="39"/>
      <c r="B30" s="40"/>
      <c r="C30" s="41"/>
      <c r="D30" s="41"/>
      <c r="E30" s="41"/>
      <c r="F30" s="41"/>
      <c r="G30" s="42"/>
      <c r="H30" s="74"/>
      <c r="I30" s="74"/>
    </row>
    <row r="31" spans="1:11" ht="20.25" customHeight="1" thickBot="1">
      <c r="A31" s="39"/>
      <c r="B31" s="136" t="s">
        <v>27</v>
      </c>
      <c r="C31" s="41"/>
      <c r="D31" s="41"/>
      <c r="E31" s="41"/>
      <c r="F31" s="41"/>
      <c r="G31" s="42"/>
      <c r="H31" s="74"/>
      <c r="I31" s="74"/>
    </row>
    <row r="32" spans="1:11" ht="33.75" customHeight="1" thickTop="1">
      <c r="A32" s="64" t="s">
        <v>5</v>
      </c>
      <c r="B32" s="65" t="s">
        <v>28</v>
      </c>
      <c r="C32" s="140" t="s">
        <v>6</v>
      </c>
      <c r="D32" s="140" t="s">
        <v>7</v>
      </c>
      <c r="E32" s="140" t="s">
        <v>6</v>
      </c>
      <c r="F32" s="140" t="s">
        <v>7</v>
      </c>
      <c r="G32" s="141" t="s">
        <v>16</v>
      </c>
      <c r="H32" s="141" t="s">
        <v>16</v>
      </c>
      <c r="I32" s="142" t="s">
        <v>24</v>
      </c>
      <c r="K32" s="35"/>
    </row>
    <row r="33" spans="1:11" ht="16.5" customHeight="1">
      <c r="A33" s="132">
        <v>21</v>
      </c>
      <c r="B33" s="153" t="s">
        <v>18</v>
      </c>
      <c r="C33" s="154">
        <v>120008.36</v>
      </c>
      <c r="D33" s="154">
        <v>56018.47</v>
      </c>
      <c r="E33" s="154">
        <v>33332</v>
      </c>
      <c r="F33" s="155">
        <v>7905.22</v>
      </c>
      <c r="G33" s="67">
        <f t="shared" ref="G33:G38" si="5">D33*100/C33</f>
        <v>46.678806376489106</v>
      </c>
      <c r="H33" s="143">
        <f t="shared" ref="H33:H38" si="6">F33/E33</f>
        <v>0.23716608664346575</v>
      </c>
      <c r="I33" s="134">
        <f t="shared" ref="I33:I38" si="7">F33/D33-100%</f>
        <v>-0.85888190091589434</v>
      </c>
    </row>
    <row r="34" spans="1:11" ht="16.5" customHeight="1">
      <c r="A34" s="132">
        <v>21</v>
      </c>
      <c r="B34" s="153" t="s">
        <v>17</v>
      </c>
      <c r="C34" s="154">
        <v>13633.33</v>
      </c>
      <c r="D34" s="154">
        <v>11133.33</v>
      </c>
      <c r="E34" s="154">
        <v>13210</v>
      </c>
      <c r="F34" s="155">
        <v>850.5</v>
      </c>
      <c r="G34" s="67">
        <f t="shared" si="5"/>
        <v>81.662587203566559</v>
      </c>
      <c r="H34" s="143">
        <f t="shared" si="6"/>
        <v>6.4383043149129446E-2</v>
      </c>
      <c r="I34" s="134">
        <f t="shared" si="7"/>
        <v>-0.92360776155921009</v>
      </c>
    </row>
    <row r="35" spans="1:11" ht="17.25" customHeight="1">
      <c r="A35" s="132">
        <v>21</v>
      </c>
      <c r="B35" s="153" t="s">
        <v>19</v>
      </c>
      <c r="C35" s="154">
        <v>120872.67</v>
      </c>
      <c r="D35" s="154">
        <v>91290</v>
      </c>
      <c r="E35" s="154">
        <v>320746</v>
      </c>
      <c r="F35" s="155">
        <v>186997</v>
      </c>
      <c r="G35" s="67">
        <f t="shared" si="5"/>
        <v>75.525757807782355</v>
      </c>
      <c r="H35" s="143">
        <f t="shared" si="6"/>
        <v>0.58300649111758218</v>
      </c>
      <c r="I35" s="134">
        <f t="shared" si="7"/>
        <v>1.0483842699090808</v>
      </c>
    </row>
    <row r="36" spans="1:11" ht="14.25" customHeight="1">
      <c r="A36" s="132">
        <v>21</v>
      </c>
      <c r="B36" s="153" t="s">
        <v>29</v>
      </c>
      <c r="C36" s="154">
        <v>10000</v>
      </c>
      <c r="D36" s="154">
        <v>4658.41</v>
      </c>
      <c r="E36" s="154">
        <v>8358.1</v>
      </c>
      <c r="F36" s="155">
        <v>3918.14</v>
      </c>
      <c r="G36" s="67">
        <f t="shared" si="5"/>
        <v>46.584099999999999</v>
      </c>
      <c r="H36" s="143">
        <f t="shared" si="6"/>
        <v>0.46878357521446257</v>
      </c>
      <c r="I36" s="134">
        <f t="shared" si="7"/>
        <v>-0.15891044369216101</v>
      </c>
    </row>
    <row r="37" spans="1:11" ht="15.75" customHeight="1">
      <c r="A37" s="132">
        <v>21</v>
      </c>
      <c r="B37" s="153" t="s">
        <v>20</v>
      </c>
      <c r="C37" s="154">
        <v>677237.84</v>
      </c>
      <c r="D37" s="154">
        <v>466062.32</v>
      </c>
      <c r="E37" s="154">
        <v>799287.28</v>
      </c>
      <c r="F37" s="155">
        <v>368644.89</v>
      </c>
      <c r="G37" s="67">
        <f t="shared" si="5"/>
        <v>68.818115656384478</v>
      </c>
      <c r="H37" s="143">
        <f t="shared" si="6"/>
        <v>0.46121701073486371</v>
      </c>
      <c r="I37" s="134">
        <f t="shared" si="7"/>
        <v>-0.2090223255980016</v>
      </c>
    </row>
    <row r="38" spans="1:11" s="74" customFormat="1" ht="20.25" customHeight="1" thickBot="1">
      <c r="A38" s="150"/>
      <c r="B38" s="151" t="s">
        <v>14</v>
      </c>
      <c r="C38" s="152">
        <f>C33+C34+C35+C36+C37</f>
        <v>941752.2</v>
      </c>
      <c r="D38" s="152">
        <f>D33+D34+D35+D36+D37</f>
        <v>629162.53</v>
      </c>
      <c r="E38" s="152">
        <f>E33+E34+E35+E36+E37</f>
        <v>1174933.3799999999</v>
      </c>
      <c r="F38" s="152">
        <f>F33+F34+F35+F36+F37</f>
        <v>568315.75</v>
      </c>
      <c r="G38" s="156">
        <f t="shared" si="5"/>
        <v>66.807651736836931</v>
      </c>
      <c r="H38" s="78">
        <f t="shared" si="6"/>
        <v>0.48370040350713334</v>
      </c>
      <c r="I38" s="77">
        <f t="shared" si="7"/>
        <v>-9.6710749764452819E-2</v>
      </c>
      <c r="K38" s="75"/>
    </row>
    <row r="39" spans="1:11" s="5" customFormat="1" ht="0.75" customHeight="1" thickTop="1" thickBot="1">
      <c r="A39" s="49"/>
      <c r="B39" s="52"/>
      <c r="C39" s="53"/>
      <c r="D39" s="53"/>
      <c r="E39" s="53"/>
      <c r="F39" s="53"/>
      <c r="G39" s="54"/>
      <c r="H39" s="74"/>
      <c r="I39" s="74"/>
    </row>
    <row r="40" spans="1:11" s="5" customFormat="1" ht="21" customHeight="1" thickBot="1">
      <c r="A40" s="49"/>
      <c r="B40" s="136" t="s">
        <v>30</v>
      </c>
      <c r="C40" s="53"/>
      <c r="D40" s="53"/>
      <c r="E40" s="53"/>
      <c r="F40" s="53"/>
      <c r="G40" s="54"/>
      <c r="H40" s="74"/>
      <c r="I40" s="74"/>
      <c r="K40" s="75"/>
    </row>
    <row r="41" spans="1:11" s="224" customFormat="1" ht="31.5" customHeight="1" thickTop="1">
      <c r="A41" s="219" t="s">
        <v>5</v>
      </c>
      <c r="B41" s="233" t="s">
        <v>31</v>
      </c>
      <c r="C41" s="221" t="s">
        <v>6</v>
      </c>
      <c r="D41" s="221" t="s">
        <v>7</v>
      </c>
      <c r="E41" s="221" t="s">
        <v>6</v>
      </c>
      <c r="F41" s="221" t="s">
        <v>7</v>
      </c>
      <c r="G41" s="222" t="s">
        <v>16</v>
      </c>
      <c r="H41" s="222" t="s">
        <v>16</v>
      </c>
      <c r="I41" s="223" t="s">
        <v>24</v>
      </c>
    </row>
    <row r="42" spans="1:11" s="2" customFormat="1" ht="20.25" customHeight="1">
      <c r="A42" s="205">
        <v>22</v>
      </c>
      <c r="B42" s="146" t="s">
        <v>17</v>
      </c>
      <c r="C42" s="147">
        <v>30116.52</v>
      </c>
      <c r="D42" s="147">
        <v>30116.52</v>
      </c>
      <c r="E42" s="147">
        <v>10866.74</v>
      </c>
      <c r="F42" s="148">
        <v>10866.74</v>
      </c>
      <c r="G42" s="67">
        <f t="shared" ref="G42:G47" si="8">D42*100/C42</f>
        <v>100</v>
      </c>
      <c r="H42" s="226">
        <f t="shared" ref="H42:H47" si="9">F42/E42</f>
        <v>1</v>
      </c>
      <c r="I42" s="210">
        <f t="shared" ref="I42:I47" si="10">F42/D42-100%</f>
        <v>-0.6391767707557181</v>
      </c>
    </row>
    <row r="43" spans="1:11" s="2" customFormat="1" ht="20.25" customHeight="1">
      <c r="A43" s="205">
        <v>22</v>
      </c>
      <c r="B43" s="133" t="s">
        <v>18</v>
      </c>
      <c r="C43" s="147">
        <v>288763.44</v>
      </c>
      <c r="D43" s="147">
        <v>224698.16</v>
      </c>
      <c r="E43" s="147">
        <v>145875.51999999999</v>
      </c>
      <c r="F43" s="148">
        <v>107691.28</v>
      </c>
      <c r="G43" s="67">
        <f t="shared" si="8"/>
        <v>77.813922704342346</v>
      </c>
      <c r="H43" s="226">
        <f t="shared" si="9"/>
        <v>0.73824093309144678</v>
      </c>
      <c r="I43" s="210">
        <f t="shared" si="10"/>
        <v>-0.52072914170725748</v>
      </c>
      <c r="K43" s="38"/>
    </row>
    <row r="44" spans="1:11" s="2" customFormat="1" ht="20.25" customHeight="1">
      <c r="A44" s="205">
        <v>22</v>
      </c>
      <c r="B44" s="133" t="s">
        <v>19</v>
      </c>
      <c r="C44" s="147">
        <v>51731.02</v>
      </c>
      <c r="D44" s="147">
        <v>42271</v>
      </c>
      <c r="E44" s="147">
        <v>4259.0200000000004</v>
      </c>
      <c r="F44" s="148">
        <v>1600</v>
      </c>
      <c r="G44" s="67">
        <f t="shared" si="8"/>
        <v>81.713061138172037</v>
      </c>
      <c r="H44" s="226">
        <f t="shared" si="9"/>
        <v>0.37567327695103564</v>
      </c>
      <c r="I44" s="210">
        <f t="shared" si="10"/>
        <v>-0.96214899103404228</v>
      </c>
    </row>
    <row r="45" spans="1:11" s="2" customFormat="1" ht="20.25" customHeight="1">
      <c r="A45" s="227">
        <v>22</v>
      </c>
      <c r="B45" s="133" t="s">
        <v>29</v>
      </c>
      <c r="C45" s="147">
        <v>29044.98</v>
      </c>
      <c r="D45" s="147">
        <v>15992.33</v>
      </c>
      <c r="E45" s="147">
        <v>3327.1</v>
      </c>
      <c r="F45" s="148">
        <v>1344.99</v>
      </c>
      <c r="G45" s="67">
        <f t="shared" si="8"/>
        <v>55.060564682778228</v>
      </c>
      <c r="H45" s="226">
        <f t="shared" si="9"/>
        <v>0.40425295302215142</v>
      </c>
      <c r="I45" s="210">
        <f t="shared" si="10"/>
        <v>-0.91589780851195546</v>
      </c>
    </row>
    <row r="46" spans="1:11" s="2" customFormat="1" ht="20.25" customHeight="1">
      <c r="A46" s="227">
        <v>22</v>
      </c>
      <c r="B46" s="133" t="s">
        <v>20</v>
      </c>
      <c r="C46" s="147">
        <v>600678.53</v>
      </c>
      <c r="D46" s="147">
        <v>526074.18999999994</v>
      </c>
      <c r="E46" s="160">
        <v>376389.23</v>
      </c>
      <c r="F46" s="161">
        <v>258553.58</v>
      </c>
      <c r="G46" s="79">
        <f t="shared" si="8"/>
        <v>87.579988916867052</v>
      </c>
      <c r="H46" s="226">
        <f t="shared" si="9"/>
        <v>0.68693139811678461</v>
      </c>
      <c r="I46" s="210">
        <f t="shared" si="10"/>
        <v>-0.50852259070151296</v>
      </c>
    </row>
    <row r="47" spans="1:11" s="232" customFormat="1" ht="20.25" customHeight="1" thickBot="1">
      <c r="A47" s="97"/>
      <c r="B47" s="98" t="s">
        <v>14</v>
      </c>
      <c r="C47" s="100">
        <f>SUM(C42:C46)</f>
        <v>1000334.49</v>
      </c>
      <c r="D47" s="100">
        <f>SUM(D42:D46)</f>
        <v>839152.2</v>
      </c>
      <c r="E47" s="100">
        <f>SUM(E42:E46)</f>
        <v>540717.61</v>
      </c>
      <c r="F47" s="100">
        <f>SUM(F42:F46)</f>
        <v>380056.58999999997</v>
      </c>
      <c r="G47" s="101">
        <f t="shared" si="8"/>
        <v>83.887160583656367</v>
      </c>
      <c r="H47" s="99">
        <f t="shared" si="9"/>
        <v>0.70287444494363693</v>
      </c>
      <c r="I47" s="217">
        <f t="shared" si="10"/>
        <v>-0.54709456758857333</v>
      </c>
    </row>
    <row r="48" spans="1:11" ht="15.75" customHeight="1" thickTop="1" thickBot="1">
      <c r="A48" s="39"/>
      <c r="B48" s="55"/>
      <c r="C48" s="56"/>
      <c r="D48" s="56"/>
      <c r="E48" s="56"/>
      <c r="F48" s="56"/>
      <c r="G48" s="57"/>
      <c r="H48" s="74"/>
      <c r="I48" s="74"/>
    </row>
    <row r="49" spans="1:11" ht="20.25" customHeight="1" thickBot="1">
      <c r="A49" s="39"/>
      <c r="B49" s="136" t="s">
        <v>32</v>
      </c>
      <c r="C49" s="41"/>
      <c r="D49" s="41"/>
      <c r="E49" s="41"/>
      <c r="F49" s="41"/>
      <c r="G49" s="42"/>
      <c r="H49" s="74"/>
      <c r="I49" s="74"/>
    </row>
    <row r="50" spans="1:11" s="224" customFormat="1" ht="35.25" customHeight="1" thickTop="1">
      <c r="A50" s="236" t="s">
        <v>5</v>
      </c>
      <c r="B50" s="233" t="s">
        <v>33</v>
      </c>
      <c r="C50" s="221" t="s">
        <v>6</v>
      </c>
      <c r="D50" s="221" t="s">
        <v>7</v>
      </c>
      <c r="E50" s="221" t="s">
        <v>6</v>
      </c>
      <c r="F50" s="221" t="s">
        <v>7</v>
      </c>
      <c r="G50" s="222" t="s">
        <v>16</v>
      </c>
      <c r="H50" s="222" t="s">
        <v>16</v>
      </c>
      <c r="I50" s="237" t="s">
        <v>24</v>
      </c>
    </row>
    <row r="51" spans="1:11" s="2" customFormat="1" ht="20.25" customHeight="1">
      <c r="A51" s="205">
        <v>41</v>
      </c>
      <c r="B51" s="133" t="s">
        <v>34</v>
      </c>
      <c r="C51" s="147">
        <v>8000</v>
      </c>
      <c r="D51" s="147">
        <v>7929.5</v>
      </c>
      <c r="E51" s="147">
        <v>2</v>
      </c>
      <c r="F51" s="148"/>
      <c r="G51" s="67">
        <v>0</v>
      </c>
      <c r="H51" s="226">
        <f t="shared" ref="H51:H56" si="11">F51/E51</f>
        <v>0</v>
      </c>
      <c r="I51" s="210">
        <f t="shared" ref="I51:I56" si="12">F51/D51-100%</f>
        <v>-1</v>
      </c>
    </row>
    <row r="52" spans="1:11" s="2" customFormat="1" ht="20.25" customHeight="1">
      <c r="A52" s="205">
        <v>31</v>
      </c>
      <c r="B52" s="133" t="s">
        <v>35</v>
      </c>
      <c r="C52" s="147">
        <f>2.35</f>
        <v>2.35</v>
      </c>
      <c r="D52" s="147">
        <v>0</v>
      </c>
      <c r="E52" s="147">
        <v>2.35</v>
      </c>
      <c r="F52" s="148"/>
      <c r="G52" s="67">
        <f>D52*100/C52</f>
        <v>0</v>
      </c>
      <c r="H52" s="226">
        <f t="shared" si="11"/>
        <v>0</v>
      </c>
      <c r="I52" s="210">
        <v>0</v>
      </c>
    </row>
    <row r="53" spans="1:11" s="2" customFormat="1" ht="20.25" customHeight="1">
      <c r="A53" s="205">
        <v>31</v>
      </c>
      <c r="B53" s="133" t="s">
        <v>20</v>
      </c>
      <c r="C53" s="160">
        <v>484.17</v>
      </c>
      <c r="D53" s="160">
        <v>238.96</v>
      </c>
      <c r="E53" s="147">
        <v>5245.21</v>
      </c>
      <c r="F53" s="148"/>
      <c r="G53" s="67">
        <f>D53*100/C53</f>
        <v>49.354565545159758</v>
      </c>
      <c r="H53" s="226">
        <f t="shared" si="11"/>
        <v>0</v>
      </c>
      <c r="I53" s="210">
        <f t="shared" si="12"/>
        <v>-1</v>
      </c>
    </row>
    <row r="54" spans="1:11" s="2" customFormat="1" ht="20.25" customHeight="1">
      <c r="A54" s="227">
        <v>61</v>
      </c>
      <c r="B54" s="135" t="s">
        <v>36</v>
      </c>
      <c r="C54" s="160"/>
      <c r="D54" s="160"/>
      <c r="E54" s="160">
        <v>5040</v>
      </c>
      <c r="F54" s="161">
        <v>4800</v>
      </c>
      <c r="G54" s="67" t="e">
        <f>D54*100/C54</f>
        <v>#DIV/0!</v>
      </c>
      <c r="H54" s="226">
        <f t="shared" si="11"/>
        <v>0.95238095238095233</v>
      </c>
      <c r="I54" s="210">
        <v>0</v>
      </c>
    </row>
    <row r="55" spans="1:11" s="2" customFormat="1" ht="20.25" customHeight="1">
      <c r="A55" s="227">
        <v>61</v>
      </c>
      <c r="B55" s="135" t="s">
        <v>37</v>
      </c>
      <c r="C55" s="160"/>
      <c r="D55" s="160"/>
      <c r="E55" s="160">
        <v>65475</v>
      </c>
      <c r="F55" s="161">
        <v>65475</v>
      </c>
      <c r="G55" s="67" t="e">
        <f>D55*100/C55</f>
        <v>#DIV/0!</v>
      </c>
      <c r="H55" s="226">
        <f t="shared" si="11"/>
        <v>1</v>
      </c>
      <c r="I55" s="210">
        <v>0</v>
      </c>
    </row>
    <row r="56" spans="1:11" s="74" customFormat="1" ht="20.25" customHeight="1">
      <c r="A56" s="162"/>
      <c r="B56" s="163" t="s">
        <v>14</v>
      </c>
      <c r="C56" s="164">
        <f>SUM(C51:C55)</f>
        <v>8486.52</v>
      </c>
      <c r="D56" s="164">
        <f>SUM(D51:D55)</f>
        <v>8168.46</v>
      </c>
      <c r="E56" s="164">
        <f>SUM(E51:E55)</f>
        <v>75764.56</v>
      </c>
      <c r="F56" s="164">
        <f>SUM(F51:F55)</f>
        <v>70275</v>
      </c>
      <c r="G56" s="67">
        <f>D56*100/C56</f>
        <v>96.252174036000611</v>
      </c>
      <c r="H56" s="78">
        <f t="shared" si="11"/>
        <v>0.92754448781857901</v>
      </c>
      <c r="I56" s="77">
        <f t="shared" si="12"/>
        <v>7.6032128455057624</v>
      </c>
    </row>
    <row r="57" spans="1:11" ht="24" customHeight="1" thickBot="1">
      <c r="A57" s="165"/>
      <c r="B57" s="378" t="s">
        <v>38</v>
      </c>
      <c r="C57" s="379"/>
      <c r="D57" s="379"/>
      <c r="E57" s="380"/>
      <c r="F57" s="302"/>
      <c r="G57" s="2"/>
      <c r="H57" s="166"/>
      <c r="I57" s="166"/>
    </row>
    <row r="58" spans="1:11" ht="34.5" customHeight="1" thickTop="1">
      <c r="A58" s="158" t="s">
        <v>5</v>
      </c>
      <c r="B58" s="65" t="s">
        <v>39</v>
      </c>
      <c r="C58" s="140" t="s">
        <v>6</v>
      </c>
      <c r="D58" s="140" t="s">
        <v>7</v>
      </c>
      <c r="E58" s="140" t="s">
        <v>6</v>
      </c>
      <c r="F58" s="140" t="s">
        <v>7</v>
      </c>
      <c r="G58" s="141" t="s">
        <v>16</v>
      </c>
      <c r="H58" s="141" t="s">
        <v>16</v>
      </c>
      <c r="I58" s="159" t="s">
        <v>24</v>
      </c>
    </row>
    <row r="59" spans="1:11" s="2" customFormat="1" ht="15">
      <c r="A59" s="238" t="s">
        <v>40</v>
      </c>
      <c r="B59" s="146" t="s">
        <v>17</v>
      </c>
      <c r="C59" s="234">
        <v>6330202.7199999997</v>
      </c>
      <c r="D59" s="147">
        <v>6330202.7199999997</v>
      </c>
      <c r="E59" s="147">
        <v>6439105.54</v>
      </c>
      <c r="F59" s="148">
        <v>6522685.7400000002</v>
      </c>
      <c r="G59" s="239">
        <f>D59/C59</f>
        <v>1</v>
      </c>
      <c r="H59" s="226">
        <f>F59/E59</f>
        <v>1.0129800947477559</v>
      </c>
      <c r="I59" s="210">
        <f>F59/D59-100%</f>
        <v>3.0407086236252656E-2</v>
      </c>
    </row>
    <row r="60" spans="1:11" s="2" customFormat="1" ht="15.75" customHeight="1">
      <c r="A60" s="238" t="s">
        <v>41</v>
      </c>
      <c r="B60" s="146" t="s">
        <v>17</v>
      </c>
      <c r="C60" s="147">
        <v>13633.33</v>
      </c>
      <c r="D60" s="147">
        <v>11133.33</v>
      </c>
      <c r="E60" s="147">
        <v>13210</v>
      </c>
      <c r="F60" s="148">
        <v>850.5</v>
      </c>
      <c r="G60" s="239">
        <f>D60/C60</f>
        <v>0.8166258720356655</v>
      </c>
      <c r="H60" s="226">
        <f>F60/E60</f>
        <v>6.4383043149129446E-2</v>
      </c>
      <c r="I60" s="210">
        <f>F60/D60-100%</f>
        <v>-0.92360776155921009</v>
      </c>
    </row>
    <row r="61" spans="1:11" s="2" customFormat="1" ht="15.75" customHeight="1">
      <c r="A61" s="238" t="s">
        <v>42</v>
      </c>
      <c r="B61" s="146" t="s">
        <v>17</v>
      </c>
      <c r="C61" s="147">
        <v>30116.52</v>
      </c>
      <c r="D61" s="147">
        <v>30116.52</v>
      </c>
      <c r="E61" s="147">
        <v>10866.74</v>
      </c>
      <c r="F61" s="148">
        <v>10866.74</v>
      </c>
      <c r="G61" s="239">
        <f t="shared" ref="G61:G74" si="13">D61/C61</f>
        <v>1</v>
      </c>
      <c r="H61" s="226">
        <f>F61/E61</f>
        <v>1</v>
      </c>
      <c r="I61" s="210">
        <f>F61/D61-100%</f>
        <v>-0.6391767707557181</v>
      </c>
    </row>
    <row r="62" spans="1:11" s="2" customFormat="1" ht="15.75" customHeight="1">
      <c r="A62" s="238" t="s">
        <v>40</v>
      </c>
      <c r="B62" s="133" t="s">
        <v>18</v>
      </c>
      <c r="C62" s="235">
        <v>654288.30000000005</v>
      </c>
      <c r="D62" s="147">
        <v>312873.7</v>
      </c>
      <c r="E62" s="147">
        <v>636195</v>
      </c>
      <c r="F62" s="148">
        <f>339508.12-3804.48</f>
        <v>335703.64</v>
      </c>
      <c r="G62" s="239">
        <f t="shared" si="13"/>
        <v>0.47818935475386004</v>
      </c>
      <c r="H62" s="226">
        <f>F62/E62</f>
        <v>0.52767412507171541</v>
      </c>
      <c r="I62" s="210">
        <f>F62/D62-100%</f>
        <v>7.2968549290016949E-2</v>
      </c>
      <c r="J62" s="38"/>
    </row>
    <row r="63" spans="1:11" s="2" customFormat="1" ht="15.75" customHeight="1">
      <c r="A63" s="238" t="s">
        <v>43</v>
      </c>
      <c r="B63" s="133" t="s">
        <v>18</v>
      </c>
      <c r="C63" s="147">
        <v>120008.36</v>
      </c>
      <c r="D63" s="147">
        <v>56018.47</v>
      </c>
      <c r="E63" s="147">
        <v>33332</v>
      </c>
      <c r="F63" s="148">
        <v>7905.22</v>
      </c>
      <c r="G63" s="239">
        <f t="shared" si="13"/>
        <v>0.46678806376489107</v>
      </c>
      <c r="H63" s="226">
        <f>F63/E63</f>
        <v>0.23716608664346575</v>
      </c>
      <c r="I63" s="210">
        <f>F63/D63-100%</f>
        <v>-0.85888190091589434</v>
      </c>
      <c r="K63" s="38"/>
    </row>
    <row r="64" spans="1:11" s="2" customFormat="1" ht="15.75" customHeight="1">
      <c r="A64" s="238" t="s">
        <v>44</v>
      </c>
      <c r="B64" s="133" t="s">
        <v>18</v>
      </c>
      <c r="C64" s="147">
        <v>288763.44</v>
      </c>
      <c r="D64" s="147">
        <v>224698.16</v>
      </c>
      <c r="E64" s="147">
        <v>145875.51999999999</v>
      </c>
      <c r="F64" s="148">
        <v>107691.28</v>
      </c>
      <c r="G64" s="239">
        <f t="shared" si="13"/>
        <v>0.77813922704342353</v>
      </c>
      <c r="H64" s="226">
        <f t="shared" ref="H64:H77" si="14">F64/E64</f>
        <v>0.73824093309144678</v>
      </c>
      <c r="I64" s="210">
        <f t="shared" ref="I64:I77" si="15">F64/D64-100%</f>
        <v>-0.52072914170725748</v>
      </c>
      <c r="K64" s="38"/>
    </row>
    <row r="65" spans="1:11" s="2" customFormat="1" ht="16.5" customHeight="1">
      <c r="A65" s="238" t="s">
        <v>45</v>
      </c>
      <c r="B65" s="133" t="s">
        <v>46</v>
      </c>
      <c r="C65" s="147">
        <f>8000+2.35</f>
        <v>8002.35</v>
      </c>
      <c r="D65" s="147">
        <v>7929.5</v>
      </c>
      <c r="E65" s="147">
        <v>4.3499999999999996</v>
      </c>
      <c r="F65" s="148">
        <v>0</v>
      </c>
      <c r="G65" s="239">
        <f t="shared" si="13"/>
        <v>0.99089642417539847</v>
      </c>
      <c r="H65" s="226">
        <f t="shared" si="14"/>
        <v>0</v>
      </c>
      <c r="I65" s="210">
        <f t="shared" si="15"/>
        <v>-1</v>
      </c>
      <c r="J65" s="38"/>
    </row>
    <row r="66" spans="1:11" s="2" customFormat="1" ht="16.5" customHeight="1">
      <c r="A66" s="238" t="s">
        <v>40</v>
      </c>
      <c r="B66" s="133" t="s">
        <v>29</v>
      </c>
      <c r="C66" s="235">
        <v>177051.6</v>
      </c>
      <c r="D66" s="147">
        <v>107244.5</v>
      </c>
      <c r="E66" s="147">
        <v>147340</v>
      </c>
      <c r="F66" s="148">
        <v>99851.73</v>
      </c>
      <c r="G66" s="239">
        <f>D66/C66</f>
        <v>0.60572454583861424</v>
      </c>
      <c r="H66" s="226">
        <f t="shared" si="14"/>
        <v>0.67769600923035156</v>
      </c>
      <c r="I66" s="210">
        <f t="shared" si="15"/>
        <v>-6.8933791476486039E-2</v>
      </c>
      <c r="J66" s="38"/>
    </row>
    <row r="67" spans="1:11" s="2" customFormat="1" ht="16.5" customHeight="1">
      <c r="A67" s="238" t="s">
        <v>41</v>
      </c>
      <c r="B67" s="133" t="s">
        <v>29</v>
      </c>
      <c r="C67" s="147">
        <v>10000</v>
      </c>
      <c r="D67" s="147">
        <v>4658.41</v>
      </c>
      <c r="E67" s="147">
        <v>8358.1</v>
      </c>
      <c r="F67" s="148">
        <v>3918.14</v>
      </c>
      <c r="G67" s="239">
        <f>D67/C67</f>
        <v>0.46584100000000001</v>
      </c>
      <c r="H67" s="226">
        <f t="shared" si="14"/>
        <v>0.46878357521446257</v>
      </c>
      <c r="I67" s="210">
        <f t="shared" si="15"/>
        <v>-0.15891044369216101</v>
      </c>
      <c r="J67" s="38"/>
    </row>
    <row r="68" spans="1:11" s="2" customFormat="1" ht="16.5" customHeight="1">
      <c r="A68" s="238" t="s">
        <v>47</v>
      </c>
      <c r="B68" s="133" t="s">
        <v>29</v>
      </c>
      <c r="C68" s="147">
        <v>29044.98</v>
      </c>
      <c r="D68" s="147">
        <v>15992.33</v>
      </c>
      <c r="E68" s="147">
        <v>3327.1</v>
      </c>
      <c r="F68" s="148">
        <v>1344.99</v>
      </c>
      <c r="G68" s="239">
        <f>D68/C68</f>
        <v>0.55060564682778235</v>
      </c>
      <c r="H68" s="226">
        <f t="shared" si="14"/>
        <v>0.40425295302215142</v>
      </c>
      <c r="I68" s="210">
        <f t="shared" si="15"/>
        <v>-0.91589780851195546</v>
      </c>
      <c r="J68" s="38"/>
    </row>
    <row r="69" spans="1:11" s="2" customFormat="1" ht="16.5" customHeight="1">
      <c r="A69" s="238" t="s">
        <v>40</v>
      </c>
      <c r="B69" s="133" t="s">
        <v>19</v>
      </c>
      <c r="C69" s="147">
        <v>0</v>
      </c>
      <c r="D69" s="147">
        <v>0</v>
      </c>
      <c r="E69" s="147">
        <v>26100</v>
      </c>
      <c r="F69" s="148">
        <v>0</v>
      </c>
      <c r="G69" s="239">
        <v>0</v>
      </c>
      <c r="H69" s="226">
        <f t="shared" si="14"/>
        <v>0</v>
      </c>
      <c r="I69" s="210">
        <v>0</v>
      </c>
      <c r="J69" s="38"/>
    </row>
    <row r="70" spans="1:11" s="2" customFormat="1" ht="15">
      <c r="A70" s="238" t="s">
        <v>43</v>
      </c>
      <c r="B70" s="133" t="s">
        <v>19</v>
      </c>
      <c r="C70" s="147">
        <v>120872.67</v>
      </c>
      <c r="D70" s="147">
        <v>91290</v>
      </c>
      <c r="E70" s="147">
        <v>320746</v>
      </c>
      <c r="F70" s="148">
        <v>186997</v>
      </c>
      <c r="G70" s="239">
        <f t="shared" si="13"/>
        <v>0.75525757807782357</v>
      </c>
      <c r="H70" s="226">
        <f t="shared" si="14"/>
        <v>0.58300649111758218</v>
      </c>
      <c r="I70" s="210">
        <f t="shared" si="15"/>
        <v>1.0483842699090808</v>
      </c>
    </row>
    <row r="71" spans="1:11" s="2" customFormat="1" ht="15">
      <c r="A71" s="238" t="s">
        <v>44</v>
      </c>
      <c r="B71" s="133" t="s">
        <v>19</v>
      </c>
      <c r="C71" s="147">
        <v>51731.02</v>
      </c>
      <c r="D71" s="147">
        <v>42271</v>
      </c>
      <c r="E71" s="147">
        <v>4259.0200000000004</v>
      </c>
      <c r="F71" s="148">
        <v>1600</v>
      </c>
      <c r="G71" s="239">
        <f t="shared" si="13"/>
        <v>0.81713061138172038</v>
      </c>
      <c r="H71" s="226">
        <f t="shared" si="14"/>
        <v>0.37567327695103564</v>
      </c>
      <c r="I71" s="210">
        <f t="shared" si="15"/>
        <v>-0.96214899103404228</v>
      </c>
    </row>
    <row r="72" spans="1:11" s="2" customFormat="1" ht="15">
      <c r="A72" s="238" t="s">
        <v>40</v>
      </c>
      <c r="B72" s="133" t="s">
        <v>20</v>
      </c>
      <c r="C72" s="147">
        <v>1915608.24</v>
      </c>
      <c r="D72" s="147">
        <v>1053913.6100000001</v>
      </c>
      <c r="E72" s="147">
        <v>1885627</v>
      </c>
      <c r="F72" s="148">
        <v>1047321.77</v>
      </c>
      <c r="G72" s="239">
        <f t="shared" si="13"/>
        <v>0.55017178773463626</v>
      </c>
      <c r="H72" s="226">
        <f t="shared" si="14"/>
        <v>0.55542361771442605</v>
      </c>
      <c r="I72" s="210">
        <f t="shared" si="15"/>
        <v>-6.2546303012446236E-3</v>
      </c>
      <c r="J72" s="38"/>
    </row>
    <row r="73" spans="1:11" s="2" customFormat="1" ht="15">
      <c r="A73" s="238" t="s">
        <v>43</v>
      </c>
      <c r="B73" s="133" t="s">
        <v>20</v>
      </c>
      <c r="C73" s="147">
        <v>677237.84</v>
      </c>
      <c r="D73" s="147">
        <v>466062.32</v>
      </c>
      <c r="E73" s="147">
        <v>799287.28</v>
      </c>
      <c r="F73" s="148">
        <v>368644.89</v>
      </c>
      <c r="G73" s="239">
        <f t="shared" si="13"/>
        <v>0.68818115656384471</v>
      </c>
      <c r="H73" s="226">
        <f t="shared" si="14"/>
        <v>0.46121701073486371</v>
      </c>
      <c r="I73" s="210">
        <f t="shared" si="15"/>
        <v>-0.2090223255980016</v>
      </c>
    </row>
    <row r="74" spans="1:11" s="2" customFormat="1" ht="15">
      <c r="A74" s="238" t="s">
        <v>44</v>
      </c>
      <c r="B74" s="133" t="s">
        <v>20</v>
      </c>
      <c r="C74" s="147">
        <v>600678.53</v>
      </c>
      <c r="D74" s="147">
        <v>526074.18999999994</v>
      </c>
      <c r="E74" s="147">
        <v>376389.23</v>
      </c>
      <c r="F74" s="148">
        <v>258553.58</v>
      </c>
      <c r="G74" s="239">
        <f t="shared" si="13"/>
        <v>0.87579988916867046</v>
      </c>
      <c r="H74" s="226">
        <f t="shared" si="14"/>
        <v>0.68693139811678461</v>
      </c>
      <c r="I74" s="210">
        <f t="shared" si="15"/>
        <v>-0.50852259070151296</v>
      </c>
    </row>
    <row r="75" spans="1:11" s="2" customFormat="1" ht="15">
      <c r="A75" s="238" t="s">
        <v>48</v>
      </c>
      <c r="B75" s="133" t="s">
        <v>20</v>
      </c>
      <c r="C75" s="160">
        <v>484.17</v>
      </c>
      <c r="D75" s="160">
        <v>238.96</v>
      </c>
      <c r="E75" s="147">
        <f>65475+5245.21</f>
        <v>70720.210000000006</v>
      </c>
      <c r="F75" s="148">
        <v>65475</v>
      </c>
      <c r="G75" s="239">
        <f>D75/C75</f>
        <v>0.49354565545159756</v>
      </c>
      <c r="H75" s="226">
        <f t="shared" si="14"/>
        <v>0.92583152680117886</v>
      </c>
      <c r="I75" s="210">
        <f t="shared" si="15"/>
        <v>272.99983260796785</v>
      </c>
      <c r="J75" s="38"/>
    </row>
    <row r="76" spans="1:11" s="2" customFormat="1" ht="15">
      <c r="A76" s="240" t="s">
        <v>48</v>
      </c>
      <c r="B76" s="135" t="s">
        <v>18</v>
      </c>
      <c r="C76" s="160"/>
      <c r="D76" s="160"/>
      <c r="E76" s="160">
        <f>5040</f>
        <v>5040</v>
      </c>
      <c r="F76" s="161">
        <v>4800</v>
      </c>
      <c r="G76" s="241"/>
      <c r="H76" s="226">
        <f t="shared" si="14"/>
        <v>0.95238095238095233</v>
      </c>
      <c r="I76" s="210">
        <v>0</v>
      </c>
      <c r="J76" s="38"/>
    </row>
    <row r="77" spans="1:11" s="232" customFormat="1" ht="17.25" thickBot="1">
      <c r="A77" s="97"/>
      <c r="B77" s="242" t="s">
        <v>49</v>
      </c>
      <c r="C77" s="100">
        <f>SUM(C59:C76)</f>
        <v>11027724.069999998</v>
      </c>
      <c r="D77" s="100">
        <f>SUM(D59:D76)</f>
        <v>9280717.7200000007</v>
      </c>
      <c r="E77" s="100">
        <f>SUM(E59:E76)</f>
        <v>10925783.089999998</v>
      </c>
      <c r="F77" s="100">
        <f>SUM(F59:F76)</f>
        <v>9024210.2200000007</v>
      </c>
      <c r="G77" s="100">
        <f>D77/C77*100</f>
        <v>84.158051662241149</v>
      </c>
      <c r="H77" s="99">
        <f t="shared" si="14"/>
        <v>0.82595546201713976</v>
      </c>
      <c r="I77" s="217">
        <f t="shared" si="15"/>
        <v>-2.7638756800804853E-2</v>
      </c>
      <c r="J77" s="243"/>
      <c r="K77" s="243"/>
    </row>
    <row r="78" spans="1:11" ht="19.5" thickTop="1" thickBot="1">
      <c r="A78" s="170"/>
      <c r="B78" s="171"/>
      <c r="C78" s="3"/>
      <c r="D78" s="172"/>
      <c r="E78" s="35"/>
      <c r="F78" s="35"/>
      <c r="G78" s="173"/>
      <c r="H78" s="74"/>
      <c r="I78" s="74"/>
      <c r="K78" s="35"/>
    </row>
    <row r="79" spans="1:11" s="224" customFormat="1" ht="18" customHeight="1" thickBot="1">
      <c r="B79" s="381" t="s">
        <v>50</v>
      </c>
      <c r="C79" s="382"/>
      <c r="D79" s="382"/>
      <c r="E79" s="383"/>
      <c r="F79" s="244"/>
      <c r="H79" s="232"/>
      <c r="I79" s="232"/>
    </row>
    <row r="80" spans="1:11" ht="17.25" customHeight="1">
      <c r="H80" s="74"/>
      <c r="I80" s="74"/>
    </row>
    <row r="81" spans="1:12" ht="16.5" thickBot="1">
      <c r="A81" s="1">
        <v>1</v>
      </c>
      <c r="B81" s="72" t="s">
        <v>51</v>
      </c>
      <c r="C81" s="174"/>
      <c r="D81" s="174"/>
      <c r="E81" s="175"/>
      <c r="F81" s="175"/>
      <c r="G81" s="175"/>
      <c r="H81" s="74"/>
      <c r="I81" s="74"/>
    </row>
    <row r="82" spans="1:12" ht="32.25" thickTop="1">
      <c r="A82" s="158" t="s">
        <v>52</v>
      </c>
      <c r="B82" s="65" t="s">
        <v>39</v>
      </c>
      <c r="C82" s="66" t="s">
        <v>6</v>
      </c>
      <c r="D82" s="66" t="s">
        <v>7</v>
      </c>
      <c r="E82" s="66" t="s">
        <v>6</v>
      </c>
      <c r="F82" s="66" t="s">
        <v>7</v>
      </c>
      <c r="G82" s="76" t="s">
        <v>16</v>
      </c>
      <c r="H82" s="141" t="s">
        <v>16</v>
      </c>
      <c r="I82" s="159" t="s">
        <v>9</v>
      </c>
    </row>
    <row r="83" spans="1:12" s="2" customFormat="1" ht="15">
      <c r="A83" s="238" t="s">
        <v>40</v>
      </c>
      <c r="B83" s="133" t="s">
        <v>53</v>
      </c>
      <c r="C83" s="147">
        <v>114299.82</v>
      </c>
      <c r="D83" s="245">
        <v>114299.82</v>
      </c>
      <c r="E83" s="147">
        <v>113669.06</v>
      </c>
      <c r="F83" s="148">
        <v>113669.06</v>
      </c>
      <c r="G83" s="246">
        <f t="shared" ref="G83:G90" si="16">D83*100/C83</f>
        <v>100</v>
      </c>
      <c r="H83" s="226">
        <f>F83/E83</f>
        <v>1</v>
      </c>
      <c r="I83" s="210">
        <f>F83/D83-100%</f>
        <v>-5.5184688829782447E-3</v>
      </c>
    </row>
    <row r="84" spans="1:12" s="2" customFormat="1" ht="15">
      <c r="A84" s="238" t="s">
        <v>40</v>
      </c>
      <c r="B84" s="133" t="s">
        <v>54</v>
      </c>
      <c r="C84" s="147">
        <v>41000</v>
      </c>
      <c r="D84" s="245">
        <v>22575.47</v>
      </c>
      <c r="E84" s="147">
        <v>15500</v>
      </c>
      <c r="F84" s="148">
        <v>13756.88</v>
      </c>
      <c r="G84" s="246">
        <f t="shared" si="16"/>
        <v>55.06212195121951</v>
      </c>
      <c r="H84" s="226">
        <f>F84/E84</f>
        <v>0.88754064516129028</v>
      </c>
      <c r="I84" s="210">
        <f>F84/D84-100%</f>
        <v>-0.39062708328996032</v>
      </c>
    </row>
    <row r="85" spans="1:12" s="2" customFormat="1" ht="15">
      <c r="A85" s="238" t="s">
        <v>44</v>
      </c>
      <c r="B85" s="133" t="s">
        <v>54</v>
      </c>
      <c r="C85" s="160">
        <v>19382.84</v>
      </c>
      <c r="D85" s="247">
        <v>17539.05</v>
      </c>
      <c r="E85" s="147">
        <v>3000</v>
      </c>
      <c r="F85" s="148">
        <v>2411.8000000000002</v>
      </c>
      <c r="G85" s="246">
        <f t="shared" si="16"/>
        <v>90.487513697683099</v>
      </c>
      <c r="H85" s="226">
        <f>F85/E85</f>
        <v>0.80393333333333339</v>
      </c>
      <c r="I85" s="210">
        <f>F85/D85-100%</f>
        <v>-0.86248970155168037</v>
      </c>
    </row>
    <row r="86" spans="1:12" s="2" customFormat="1" ht="15">
      <c r="A86" s="238" t="s">
        <v>40</v>
      </c>
      <c r="B86" s="135" t="s">
        <v>55</v>
      </c>
      <c r="C86" s="160">
        <v>1400</v>
      </c>
      <c r="D86" s="247">
        <v>0</v>
      </c>
      <c r="E86" s="147">
        <v>390</v>
      </c>
      <c r="F86" s="148">
        <v>0</v>
      </c>
      <c r="G86" s="246">
        <f t="shared" si="16"/>
        <v>0</v>
      </c>
      <c r="H86" s="226">
        <f>F86/E86</f>
        <v>0</v>
      </c>
      <c r="I86" s="210">
        <v>0</v>
      </c>
    </row>
    <row r="87" spans="1:12" s="2" customFormat="1" ht="15">
      <c r="A87" s="238" t="s">
        <v>47</v>
      </c>
      <c r="B87" s="135" t="s">
        <v>55</v>
      </c>
      <c r="C87" s="160">
        <v>3100</v>
      </c>
      <c r="D87" s="247">
        <v>0</v>
      </c>
      <c r="E87" s="147">
        <v>0</v>
      </c>
      <c r="F87" s="148">
        <v>0</v>
      </c>
      <c r="G87" s="246">
        <f t="shared" si="16"/>
        <v>0</v>
      </c>
      <c r="H87" s="226">
        <v>0</v>
      </c>
      <c r="I87" s="210">
        <v>0</v>
      </c>
    </row>
    <row r="88" spans="1:12" s="2" customFormat="1" ht="15">
      <c r="A88" s="238" t="s">
        <v>43</v>
      </c>
      <c r="B88" s="135" t="s">
        <v>56</v>
      </c>
      <c r="C88" s="160">
        <v>70872.67</v>
      </c>
      <c r="D88" s="247">
        <v>55225</v>
      </c>
      <c r="E88" s="147">
        <v>157067</v>
      </c>
      <c r="F88" s="148">
        <v>133247</v>
      </c>
      <c r="G88" s="246">
        <f t="shared" si="16"/>
        <v>77.921432902132793</v>
      </c>
      <c r="H88" s="226">
        <f>F88/E88</f>
        <v>0.84834497380098939</v>
      </c>
      <c r="I88" s="210">
        <f>F88/D88-100%</f>
        <v>1.4128021729289273</v>
      </c>
    </row>
    <row r="89" spans="1:12" s="2" customFormat="1" ht="15">
      <c r="A89" s="238" t="s">
        <v>44</v>
      </c>
      <c r="B89" s="135" t="s">
        <v>56</v>
      </c>
      <c r="C89" s="160">
        <v>37235</v>
      </c>
      <c r="D89" s="247">
        <v>33530</v>
      </c>
      <c r="E89" s="147">
        <v>1158</v>
      </c>
      <c r="F89" s="148">
        <v>600</v>
      </c>
      <c r="G89" s="246">
        <f t="shared" si="16"/>
        <v>90.049684436685908</v>
      </c>
      <c r="H89" s="226">
        <f>F89/E89</f>
        <v>0.51813471502590669</v>
      </c>
      <c r="I89" s="210">
        <f>F89/D89-100%</f>
        <v>-0.98210557709513868</v>
      </c>
      <c r="L89" s="38"/>
    </row>
    <row r="90" spans="1:12" s="2" customFormat="1" ht="15">
      <c r="A90" s="240" t="s">
        <v>40</v>
      </c>
      <c r="B90" s="135" t="s">
        <v>57</v>
      </c>
      <c r="C90" s="160">
        <v>126137</v>
      </c>
      <c r="D90" s="247">
        <v>80000</v>
      </c>
      <c r="E90" s="147">
        <v>50000</v>
      </c>
      <c r="F90" s="161">
        <v>49627.69</v>
      </c>
      <c r="G90" s="263">
        <f t="shared" si="16"/>
        <v>63.423103451009617</v>
      </c>
      <c r="H90" s="226">
        <f>F90/E90</f>
        <v>0.99255380000000004</v>
      </c>
      <c r="I90" s="210">
        <f>F90/D90-100%</f>
        <v>-0.37965387499999992</v>
      </c>
      <c r="L90" s="38"/>
    </row>
    <row r="91" spans="1:12" s="232" customFormat="1" ht="20.25" customHeight="1" thickBot="1">
      <c r="A91" s="97"/>
      <c r="B91" s="98" t="s">
        <v>14</v>
      </c>
      <c r="C91" s="100">
        <f>SUM(C83:C90)</f>
        <v>413427.33</v>
      </c>
      <c r="D91" s="100">
        <f>SUM(D83:D90)</f>
        <v>323169.33999999997</v>
      </c>
      <c r="E91" s="100">
        <f>SUM(E83:E90)</f>
        <v>340784.06</v>
      </c>
      <c r="F91" s="100">
        <f>SUM(F83:F90)</f>
        <v>313312.43</v>
      </c>
      <c r="G91" s="103">
        <f>D91*100/C91</f>
        <v>78.168354278852334</v>
      </c>
      <c r="H91" s="99">
        <f>F91/E91</f>
        <v>0.91938698658616835</v>
      </c>
      <c r="I91" s="217">
        <f>F91/D91-100%</f>
        <v>-3.0500758518738125E-2</v>
      </c>
    </row>
    <row r="92" spans="1:12" ht="20.25" customHeight="1" thickTop="1">
      <c r="A92" s="49"/>
      <c r="B92" s="180"/>
      <c r="C92" s="73"/>
      <c r="D92" s="73"/>
      <c r="E92" s="50"/>
      <c r="F92" s="50"/>
      <c r="G92" s="51"/>
      <c r="H92" s="74"/>
      <c r="I92" s="74"/>
    </row>
    <row r="93" spans="1:12" ht="16.5" thickBot="1">
      <c r="A93" s="1">
        <v>2</v>
      </c>
      <c r="B93" s="181" t="s">
        <v>58</v>
      </c>
      <c r="C93" s="182"/>
      <c r="D93" s="182"/>
      <c r="E93" s="183"/>
      <c r="F93" s="183"/>
      <c r="G93" s="183"/>
      <c r="H93" s="74"/>
      <c r="I93" s="74"/>
    </row>
    <row r="94" spans="1:12" ht="32.25" thickTop="1">
      <c r="A94" s="158" t="s">
        <v>52</v>
      </c>
      <c r="B94" s="65" t="s">
        <v>39</v>
      </c>
      <c r="C94" s="66" t="s">
        <v>6</v>
      </c>
      <c r="D94" s="66" t="s">
        <v>7</v>
      </c>
      <c r="E94" s="66" t="s">
        <v>6</v>
      </c>
      <c r="F94" s="66" t="s">
        <v>7</v>
      </c>
      <c r="G94" s="76" t="s">
        <v>16</v>
      </c>
      <c r="H94" s="141" t="s">
        <v>16</v>
      </c>
      <c r="I94" s="159" t="s">
        <v>9</v>
      </c>
    </row>
    <row r="95" spans="1:12" s="2" customFormat="1" ht="15">
      <c r="A95" s="238" t="s">
        <v>40</v>
      </c>
      <c r="B95" s="133" t="s">
        <v>53</v>
      </c>
      <c r="C95" s="147">
        <v>140597.49</v>
      </c>
      <c r="D95" s="245">
        <v>140597.49</v>
      </c>
      <c r="E95" s="147">
        <v>139128.04</v>
      </c>
      <c r="F95" s="148">
        <v>139128.04</v>
      </c>
      <c r="G95" s="246">
        <f>D95*100/C95</f>
        <v>100</v>
      </c>
      <c r="H95" s="226">
        <f>F95/E95</f>
        <v>1</v>
      </c>
      <c r="I95" s="210">
        <f>F95/D95-100%</f>
        <v>-1.0451466807835486E-2</v>
      </c>
    </row>
    <row r="96" spans="1:12" s="2" customFormat="1" ht="15">
      <c r="A96" s="238" t="s">
        <v>40</v>
      </c>
      <c r="B96" s="133" t="s">
        <v>54</v>
      </c>
      <c r="C96" s="147">
        <v>85480</v>
      </c>
      <c r="D96" s="245">
        <v>67350.11</v>
      </c>
      <c r="E96" s="147">
        <v>134461</v>
      </c>
      <c r="F96" s="148">
        <v>100518.07</v>
      </c>
      <c r="G96" s="246">
        <f>D96*100/C96</f>
        <v>78.790489003275624</v>
      </c>
      <c r="H96" s="226">
        <f>F96/E96</f>
        <v>0.74756301083585586</v>
      </c>
      <c r="I96" s="210">
        <f>F96/D96-100%</f>
        <v>0.49247076211159868</v>
      </c>
    </row>
    <row r="97" spans="1:10" s="2" customFormat="1" ht="15">
      <c r="A97" s="238" t="s">
        <v>43</v>
      </c>
      <c r="B97" s="133" t="s">
        <v>54</v>
      </c>
      <c r="C97" s="160">
        <v>45018.559999999998</v>
      </c>
      <c r="D97" s="247">
        <v>21772.46</v>
      </c>
      <c r="E97" s="147">
        <v>0</v>
      </c>
      <c r="F97" s="148">
        <v>0</v>
      </c>
      <c r="G97" s="246">
        <f>D97*100/C97</f>
        <v>48.363297271169941</v>
      </c>
      <c r="H97" s="226">
        <v>0</v>
      </c>
      <c r="I97" s="210">
        <f>F97/D97-100%</f>
        <v>-1</v>
      </c>
    </row>
    <row r="98" spans="1:10" s="2" customFormat="1" ht="15">
      <c r="A98" s="238" t="s">
        <v>44</v>
      </c>
      <c r="B98" s="133" t="s">
        <v>54</v>
      </c>
      <c r="C98" s="160">
        <v>93337.95</v>
      </c>
      <c r="D98" s="247">
        <v>76957.47</v>
      </c>
      <c r="E98" s="147">
        <v>33583.07</v>
      </c>
      <c r="F98" s="148">
        <v>32127.42</v>
      </c>
      <c r="G98" s="246">
        <f>D98*100/C98</f>
        <v>82.450353794999785</v>
      </c>
      <c r="H98" s="226">
        <f>F98/E98</f>
        <v>0.95665524325203144</v>
      </c>
      <c r="I98" s="210">
        <v>0</v>
      </c>
    </row>
    <row r="99" spans="1:10" s="2" customFormat="1" ht="15">
      <c r="A99" s="238" t="s">
        <v>40</v>
      </c>
      <c r="B99" s="135" t="s">
        <v>55</v>
      </c>
      <c r="C99" s="160">
        <v>40000</v>
      </c>
      <c r="D99" s="247">
        <v>21789.68</v>
      </c>
      <c r="E99" s="147">
        <v>19500</v>
      </c>
      <c r="F99" s="148">
        <v>5209.8999999999996</v>
      </c>
      <c r="G99" s="246">
        <f>D99*100/C99</f>
        <v>54.474200000000003</v>
      </c>
      <c r="H99" s="226">
        <v>0</v>
      </c>
      <c r="I99" s="210">
        <v>0</v>
      </c>
    </row>
    <row r="100" spans="1:10" s="2" customFormat="1" ht="15">
      <c r="A100" s="238" t="s">
        <v>40</v>
      </c>
      <c r="B100" s="133" t="s">
        <v>59</v>
      </c>
      <c r="C100" s="160">
        <v>10000</v>
      </c>
      <c r="D100" s="247">
        <v>10000</v>
      </c>
      <c r="E100" s="147">
        <f>C100-D100</f>
        <v>0</v>
      </c>
      <c r="F100" s="148">
        <v>0</v>
      </c>
      <c r="G100" s="246">
        <v>0</v>
      </c>
      <c r="H100" s="226">
        <v>0</v>
      </c>
      <c r="I100" s="210">
        <f>F100/D100-100%</f>
        <v>-1</v>
      </c>
    </row>
    <row r="101" spans="1:10" s="2" customFormat="1" ht="15">
      <c r="A101" s="238" t="s">
        <v>44</v>
      </c>
      <c r="B101" s="133" t="s">
        <v>55</v>
      </c>
      <c r="C101" s="160">
        <v>16900</v>
      </c>
      <c r="D101" s="247">
        <v>7106.41</v>
      </c>
      <c r="E101" s="147">
        <v>3100</v>
      </c>
      <c r="F101" s="148">
        <v>1117.8900000000001</v>
      </c>
      <c r="G101" s="246">
        <f>D101*100/C101</f>
        <v>42.049763313609468</v>
      </c>
      <c r="H101" s="226">
        <f>F101/E101</f>
        <v>0.36060967741935485</v>
      </c>
      <c r="I101" s="210">
        <f>F101/D101-100%</f>
        <v>-0.84269272389293604</v>
      </c>
    </row>
    <row r="102" spans="1:10" s="232" customFormat="1" ht="23.25" customHeight="1" thickBot="1">
      <c r="A102" s="97"/>
      <c r="B102" s="98" t="s">
        <v>14</v>
      </c>
      <c r="C102" s="100">
        <f>SUM(C95:C101)</f>
        <v>431334</v>
      </c>
      <c r="D102" s="100">
        <f>SUM(D95:D101)</f>
        <v>345573.61999999994</v>
      </c>
      <c r="E102" s="100">
        <f>SUM(E95:E101)</f>
        <v>329772.11000000004</v>
      </c>
      <c r="F102" s="100">
        <f>SUM(F95:F101)</f>
        <v>278101.32000000007</v>
      </c>
      <c r="G102" s="103">
        <f>D102*100/C102</f>
        <v>80.117407855629267</v>
      </c>
      <c r="H102" s="99">
        <f>F102/E102</f>
        <v>0.84331364468632608</v>
      </c>
      <c r="I102" s="217">
        <f>F102/D102-100%</f>
        <v>-0.19524725295871803</v>
      </c>
      <c r="J102" s="243"/>
    </row>
    <row r="103" spans="1:10" ht="2.25" customHeight="1" thickTop="1">
      <c r="A103" s="4"/>
      <c r="B103" s="4"/>
      <c r="C103" s="184"/>
      <c r="D103" s="184"/>
      <c r="E103" s="174"/>
      <c r="F103" s="174"/>
      <c r="G103" s="174"/>
      <c r="H103" s="74"/>
      <c r="I103" s="74"/>
    </row>
    <row r="104" spans="1:10" ht="2.25" customHeight="1">
      <c r="A104" s="4"/>
      <c r="B104" s="4"/>
      <c r="C104" s="184"/>
      <c r="D104" s="184"/>
      <c r="E104" s="174"/>
      <c r="F104" s="174"/>
      <c r="G104" s="174"/>
      <c r="H104" s="74"/>
      <c r="I104" s="74"/>
    </row>
    <row r="105" spans="1:10" ht="9" customHeight="1">
      <c r="A105" s="4"/>
      <c r="B105" s="4"/>
      <c r="C105" s="184"/>
      <c r="D105" s="184"/>
      <c r="E105" s="174"/>
      <c r="F105" s="174"/>
      <c r="G105" s="174"/>
      <c r="H105" s="74"/>
      <c r="I105" s="74"/>
    </row>
    <row r="106" spans="1:10" ht="16.5" thickBot="1">
      <c r="A106" s="1">
        <v>3</v>
      </c>
      <c r="B106" s="72" t="s">
        <v>60</v>
      </c>
      <c r="C106" s="184"/>
      <c r="D106" s="184"/>
      <c r="E106" s="174"/>
      <c r="F106" s="174"/>
      <c r="G106" s="174"/>
      <c r="H106" s="74"/>
      <c r="I106" s="74"/>
    </row>
    <row r="107" spans="1:10" ht="32.25" thickTop="1">
      <c r="A107" s="158" t="s">
        <v>52</v>
      </c>
      <c r="B107" s="65" t="s">
        <v>39</v>
      </c>
      <c r="C107" s="66" t="s">
        <v>6</v>
      </c>
      <c r="D107" s="66" t="s">
        <v>7</v>
      </c>
      <c r="E107" s="66" t="s">
        <v>6</v>
      </c>
      <c r="F107" s="66" t="s">
        <v>7</v>
      </c>
      <c r="G107" s="76" t="s">
        <v>16</v>
      </c>
      <c r="H107" s="141" t="s">
        <v>16</v>
      </c>
      <c r="I107" s="159" t="s">
        <v>9</v>
      </c>
    </row>
    <row r="108" spans="1:10" s="2" customFormat="1" ht="15">
      <c r="A108" s="238" t="s">
        <v>40</v>
      </c>
      <c r="B108" s="133" t="s">
        <v>53</v>
      </c>
      <c r="C108" s="147">
        <v>47260.06</v>
      </c>
      <c r="D108" s="248">
        <v>47260.06</v>
      </c>
      <c r="E108" s="147">
        <v>47631.64</v>
      </c>
      <c r="F108" s="148">
        <v>47631.64</v>
      </c>
      <c r="G108" s="246">
        <f>D108*100/C108</f>
        <v>100</v>
      </c>
      <c r="H108" s="226">
        <f>F108/E108</f>
        <v>1</v>
      </c>
      <c r="I108" s="210">
        <f>F108/D108-100%</f>
        <v>7.8624529888451367E-3</v>
      </c>
    </row>
    <row r="109" spans="1:10" s="2" customFormat="1" ht="15">
      <c r="A109" s="238" t="s">
        <v>40</v>
      </c>
      <c r="B109" s="133" t="s">
        <v>54</v>
      </c>
      <c r="C109" s="147">
        <v>4000</v>
      </c>
      <c r="D109" s="248">
        <v>2459.7800000000002</v>
      </c>
      <c r="E109" s="147">
        <v>1550</v>
      </c>
      <c r="F109" s="148">
        <v>688.61</v>
      </c>
      <c r="G109" s="246">
        <f>D109*100/C109</f>
        <v>61.494500000000009</v>
      </c>
      <c r="H109" s="226">
        <f>F109/E109</f>
        <v>0.44426451612903228</v>
      </c>
      <c r="I109" s="210">
        <f>F109/D109-100%</f>
        <v>-0.72005219979022517</v>
      </c>
    </row>
    <row r="110" spans="1:10" s="232" customFormat="1" ht="24" customHeight="1" thickBot="1">
      <c r="A110" s="97"/>
      <c r="B110" s="98" t="s">
        <v>14</v>
      </c>
      <c r="C110" s="100">
        <f>SUM(C108:C109)</f>
        <v>51260.06</v>
      </c>
      <c r="D110" s="100">
        <f>SUM(D108:D109)</f>
        <v>49719.839999999997</v>
      </c>
      <c r="E110" s="100">
        <f>SUM(E108:E109)</f>
        <v>49181.64</v>
      </c>
      <c r="F110" s="100">
        <f>SUM(F108:F109)</f>
        <v>48320.25</v>
      </c>
      <c r="G110" s="103">
        <f>D110*100/C110</f>
        <v>96.995282486988899</v>
      </c>
      <c r="H110" s="99">
        <f>F110/E110</f>
        <v>0.98248553728586518</v>
      </c>
      <c r="I110" s="217">
        <f>F110/D110-100%</f>
        <v>-2.8149527432107524E-2</v>
      </c>
    </row>
    <row r="111" spans="1:10" ht="13.5" thickTop="1">
      <c r="A111" s="175"/>
      <c r="B111" s="175"/>
      <c r="C111" s="185"/>
      <c r="D111" s="185"/>
      <c r="E111" s="36"/>
      <c r="F111" s="36"/>
      <c r="G111" s="37"/>
      <c r="H111" s="74"/>
      <c r="I111" s="74"/>
    </row>
    <row r="112" spans="1:10" ht="16.5" thickBot="1">
      <c r="A112" s="1">
        <v>4</v>
      </c>
      <c r="B112" s="72" t="s">
        <v>61</v>
      </c>
      <c r="C112" s="186"/>
      <c r="D112" s="186"/>
      <c r="E112" s="38"/>
      <c r="F112" s="38"/>
      <c r="G112" s="38"/>
      <c r="H112" s="74"/>
      <c r="I112" s="74"/>
    </row>
    <row r="113" spans="1:9" ht="32.25" thickTop="1">
      <c r="A113" s="158" t="s">
        <v>52</v>
      </c>
      <c r="B113" s="65" t="s">
        <v>39</v>
      </c>
      <c r="C113" s="66" t="s">
        <v>6</v>
      </c>
      <c r="D113" s="66" t="s">
        <v>7</v>
      </c>
      <c r="E113" s="66" t="s">
        <v>6</v>
      </c>
      <c r="F113" s="66" t="s">
        <v>7</v>
      </c>
      <c r="G113" s="76" t="s">
        <v>16</v>
      </c>
      <c r="H113" s="141" t="s">
        <v>16</v>
      </c>
      <c r="I113" s="159" t="s">
        <v>9</v>
      </c>
    </row>
    <row r="114" spans="1:9" s="2" customFormat="1" ht="15">
      <c r="A114" s="238" t="s">
        <v>40</v>
      </c>
      <c r="B114" s="133" t="s">
        <v>53</v>
      </c>
      <c r="C114" s="147">
        <v>31982.09</v>
      </c>
      <c r="D114" s="245">
        <v>31982.09</v>
      </c>
      <c r="E114" s="147">
        <v>32868.839999999997</v>
      </c>
      <c r="F114" s="148">
        <v>32868.839999999997</v>
      </c>
      <c r="G114" s="246">
        <f>D114*100/C114</f>
        <v>100</v>
      </c>
      <c r="H114" s="226">
        <f>F114/E114</f>
        <v>1</v>
      </c>
      <c r="I114" s="210">
        <f>F114/D114-100%</f>
        <v>2.7726455650646908E-2</v>
      </c>
    </row>
    <row r="115" spans="1:9" s="2" customFormat="1" ht="15">
      <c r="A115" s="238" t="s">
        <v>40</v>
      </c>
      <c r="B115" s="133" t="s">
        <v>54</v>
      </c>
      <c r="C115" s="147">
        <v>5000</v>
      </c>
      <c r="D115" s="245">
        <v>3601.6</v>
      </c>
      <c r="E115" s="147">
        <v>1800</v>
      </c>
      <c r="F115" s="148">
        <v>1599.09</v>
      </c>
      <c r="G115" s="246">
        <f>D115*100/C115</f>
        <v>72.031999999999996</v>
      </c>
      <c r="H115" s="226">
        <f>F115/E115</f>
        <v>0.8883833333333333</v>
      </c>
      <c r="I115" s="210">
        <f>F115/D115-100%</f>
        <v>-0.556005664149267</v>
      </c>
    </row>
    <row r="116" spans="1:9" s="232" customFormat="1" ht="21" customHeight="1" thickBot="1">
      <c r="A116" s="97"/>
      <c r="B116" s="98" t="s">
        <v>14</v>
      </c>
      <c r="C116" s="100">
        <f>SUM(C114:C115)</f>
        <v>36982.089999999997</v>
      </c>
      <c r="D116" s="100">
        <f>SUM(D114:D115)</f>
        <v>35583.69</v>
      </c>
      <c r="E116" s="100">
        <f>SUM(E114:E115)</f>
        <v>34668.839999999997</v>
      </c>
      <c r="F116" s="100">
        <f>SUM(F114:F115)</f>
        <v>34467.929999999993</v>
      </c>
      <c r="G116" s="103">
        <f>D116*100/C116</f>
        <v>96.218710191879381</v>
      </c>
      <c r="H116" s="99">
        <f>F116/E116</f>
        <v>0.99420488254005601</v>
      </c>
      <c r="I116" s="217">
        <f>F116/D116-100%</f>
        <v>-3.1355938633683245E-2</v>
      </c>
    </row>
    <row r="117" spans="1:9" ht="13.5" thickTop="1">
      <c r="A117" s="187"/>
      <c r="B117" s="34"/>
      <c r="C117" s="185"/>
      <c r="D117" s="185"/>
      <c r="E117" s="36"/>
      <c r="F117" s="36"/>
      <c r="G117" s="37"/>
      <c r="H117" s="74"/>
      <c r="I117" s="74"/>
    </row>
    <row r="118" spans="1:9" ht="16.5" thickBot="1">
      <c r="A118" s="1">
        <v>5</v>
      </c>
      <c r="B118" s="72" t="s">
        <v>62</v>
      </c>
      <c r="C118" s="184"/>
      <c r="D118" s="184"/>
      <c r="E118" s="174"/>
      <c r="F118" s="174"/>
      <c r="G118" s="174"/>
      <c r="H118" s="74"/>
      <c r="I118" s="74"/>
    </row>
    <row r="119" spans="1:9" s="224" customFormat="1" ht="33.75" thickTop="1">
      <c r="A119" s="236" t="s">
        <v>52</v>
      </c>
      <c r="B119" s="233" t="s">
        <v>39</v>
      </c>
      <c r="C119" s="249" t="s">
        <v>6</v>
      </c>
      <c r="D119" s="249" t="s">
        <v>7</v>
      </c>
      <c r="E119" s="249" t="s">
        <v>6</v>
      </c>
      <c r="F119" s="249" t="s">
        <v>7</v>
      </c>
      <c r="G119" s="250" t="s">
        <v>16</v>
      </c>
      <c r="H119" s="222" t="s">
        <v>16</v>
      </c>
      <c r="I119" s="237" t="s">
        <v>9</v>
      </c>
    </row>
    <row r="120" spans="1:9" ht="16.5" customHeight="1">
      <c r="A120" s="167" t="s">
        <v>40</v>
      </c>
      <c r="B120" s="153" t="s">
        <v>53</v>
      </c>
      <c r="C120" s="154">
        <v>79742.16</v>
      </c>
      <c r="D120" s="176">
        <v>79742.16</v>
      </c>
      <c r="E120" s="154">
        <v>78690.600000000006</v>
      </c>
      <c r="F120" s="155">
        <v>78690.600000000006</v>
      </c>
      <c r="G120" s="177">
        <f>D120*100/C120</f>
        <v>100</v>
      </c>
      <c r="H120" s="143">
        <f>F120/E120</f>
        <v>1</v>
      </c>
      <c r="I120" s="134">
        <f>F120/D120-100%</f>
        <v>-1.3187001706500001E-2</v>
      </c>
    </row>
    <row r="121" spans="1:9" ht="16.5" customHeight="1">
      <c r="A121" s="168" t="s">
        <v>40</v>
      </c>
      <c r="B121" s="169" t="s">
        <v>63</v>
      </c>
      <c r="C121" s="154">
        <v>6820</v>
      </c>
      <c r="D121" s="178">
        <v>3735.92</v>
      </c>
      <c r="E121" s="154">
        <v>4400</v>
      </c>
      <c r="F121" s="155">
        <v>1250.4000000000001</v>
      </c>
      <c r="G121" s="177">
        <f>D121*100/C121</f>
        <v>54.778885630498536</v>
      </c>
      <c r="H121" s="143">
        <f>F121/E121</f>
        <v>0.2841818181818182</v>
      </c>
      <c r="I121" s="134">
        <f>F121/D121-100%</f>
        <v>-0.66530332555300964</v>
      </c>
    </row>
    <row r="122" spans="1:9" s="74" customFormat="1" ht="22.5" customHeight="1" thickBot="1">
      <c r="A122" s="144"/>
      <c r="B122" s="151" t="s">
        <v>14</v>
      </c>
      <c r="C122" s="152">
        <f>SUM(C120:C121)</f>
        <v>86562.16</v>
      </c>
      <c r="D122" s="152">
        <f>SUM(D120:D121)</f>
        <v>83478.080000000002</v>
      </c>
      <c r="E122" s="152">
        <f>SUM(E120:E121)</f>
        <v>83090.600000000006</v>
      </c>
      <c r="F122" s="152">
        <f>SUM(F120:F121)</f>
        <v>79941</v>
      </c>
      <c r="G122" s="179">
        <f>D122*100/C122</f>
        <v>96.43714990476208</v>
      </c>
      <c r="H122" s="78">
        <f>F122/E122</f>
        <v>0.96209438853492446</v>
      </c>
      <c r="I122" s="77">
        <f>F122/D122-100%</f>
        <v>-4.2371362637952381E-2</v>
      </c>
    </row>
    <row r="123" spans="1:9" ht="13.5" thickTop="1">
      <c r="A123" s="187"/>
      <c r="B123" s="34"/>
      <c r="C123" s="185"/>
      <c r="D123" s="185"/>
      <c r="E123" s="36"/>
      <c r="F123" s="36"/>
      <c r="G123" s="37"/>
      <c r="H123" s="74"/>
      <c r="I123" s="74"/>
    </row>
    <row r="124" spans="1:9" ht="16.5" customHeight="1" thickBot="1">
      <c r="A124" s="1">
        <v>6</v>
      </c>
      <c r="B124" s="72" t="s">
        <v>64</v>
      </c>
      <c r="C124" s="184"/>
      <c r="D124" s="184"/>
      <c r="E124" s="174"/>
      <c r="F124" s="174"/>
      <c r="G124" s="174"/>
      <c r="H124" s="74"/>
      <c r="I124" s="74"/>
    </row>
    <row r="125" spans="1:9" ht="32.25" thickTop="1">
      <c r="A125" s="158" t="s">
        <v>52</v>
      </c>
      <c r="B125" s="65" t="s">
        <v>39</v>
      </c>
      <c r="C125" s="66" t="s">
        <v>6</v>
      </c>
      <c r="D125" s="66" t="s">
        <v>7</v>
      </c>
      <c r="E125" s="66" t="s">
        <v>6</v>
      </c>
      <c r="F125" s="66" t="s">
        <v>7</v>
      </c>
      <c r="G125" s="76" t="s">
        <v>16</v>
      </c>
      <c r="H125" s="141" t="s">
        <v>16</v>
      </c>
      <c r="I125" s="159" t="s">
        <v>9</v>
      </c>
    </row>
    <row r="126" spans="1:9" s="224" customFormat="1" ht="16.5">
      <c r="A126" s="251" t="s">
        <v>40</v>
      </c>
      <c r="B126" s="252" t="s">
        <v>53</v>
      </c>
      <c r="C126" s="253">
        <v>65566.64</v>
      </c>
      <c r="D126" s="254">
        <v>65566.039999999994</v>
      </c>
      <c r="E126" s="253">
        <v>70100.31</v>
      </c>
      <c r="F126" s="255">
        <v>70100.31</v>
      </c>
      <c r="G126" s="256">
        <f>D126*100/C126</f>
        <v>99.999084900492065</v>
      </c>
      <c r="H126" s="257">
        <f>F126/E126</f>
        <v>1</v>
      </c>
      <c r="I126" s="258">
        <f>F126/D126-100%</f>
        <v>6.9155770273757744E-2</v>
      </c>
    </row>
    <row r="127" spans="1:9" s="224" customFormat="1" ht="16.5">
      <c r="A127" s="251" t="s">
        <v>40</v>
      </c>
      <c r="B127" s="252" t="s">
        <v>54</v>
      </c>
      <c r="C127" s="253">
        <v>19000</v>
      </c>
      <c r="D127" s="254">
        <v>11674.04</v>
      </c>
      <c r="E127" s="253">
        <v>6700</v>
      </c>
      <c r="F127" s="255">
        <v>6551.16</v>
      </c>
      <c r="G127" s="256">
        <f>D127*100/C127</f>
        <v>61.442315789473682</v>
      </c>
      <c r="H127" s="257">
        <f>F127/E127</f>
        <v>0.9777850746268657</v>
      </c>
      <c r="I127" s="258">
        <f>F127/D127-100%</f>
        <v>-0.43882666154990047</v>
      </c>
    </row>
    <row r="128" spans="1:9" s="224" customFormat="1" ht="16.5">
      <c r="A128" s="259" t="s">
        <v>44</v>
      </c>
      <c r="B128" s="252" t="s">
        <v>54</v>
      </c>
      <c r="C128" s="260">
        <v>9288.73</v>
      </c>
      <c r="D128" s="261">
        <v>105.2</v>
      </c>
      <c r="E128" s="253">
        <v>10365.51</v>
      </c>
      <c r="F128" s="255">
        <v>10205.56</v>
      </c>
      <c r="G128" s="256">
        <f>D128*100/C128</f>
        <v>1.1325552578231901</v>
      </c>
      <c r="H128" s="257">
        <f>F128/E128</f>
        <v>0.98456901782932038</v>
      </c>
      <c r="I128" s="258">
        <f>F128/D128-100%</f>
        <v>96.01102661596957</v>
      </c>
    </row>
    <row r="129" spans="1:12" s="232" customFormat="1" ht="22.5" customHeight="1" thickBot="1">
      <c r="A129" s="97"/>
      <c r="B129" s="98" t="s">
        <v>14</v>
      </c>
      <c r="C129" s="100">
        <f>SUM(C126:C128)</f>
        <v>93855.37</v>
      </c>
      <c r="D129" s="100">
        <f>SUM(D126:D128)</f>
        <v>77345.279999999984</v>
      </c>
      <c r="E129" s="100">
        <f>SUM(E126:E128)</f>
        <v>87165.819999999992</v>
      </c>
      <c r="F129" s="100">
        <f>SUM(F126:F128)</f>
        <v>86857.03</v>
      </c>
      <c r="G129" s="103">
        <f>D129*100/C129</f>
        <v>82.409008669402709</v>
      </c>
      <c r="H129" s="99">
        <f>F129/E129</f>
        <v>0.99645744168987349</v>
      </c>
      <c r="I129" s="217">
        <f>F129/D129-100%</f>
        <v>0.12297776929632964</v>
      </c>
    </row>
    <row r="130" spans="1:12" ht="15" customHeight="1" thickTop="1">
      <c r="A130" s="175"/>
      <c r="B130" s="4"/>
      <c r="C130" s="184"/>
      <c r="D130" s="184"/>
      <c r="E130" s="174"/>
      <c r="F130" s="174"/>
      <c r="G130" s="174"/>
      <c r="H130" s="74"/>
      <c r="I130" s="74"/>
    </row>
    <row r="131" spans="1:12" ht="16.5" customHeight="1" thickBot="1">
      <c r="A131" s="1">
        <v>7</v>
      </c>
      <c r="B131" s="72" t="s">
        <v>65</v>
      </c>
      <c r="C131" s="184"/>
      <c r="D131" s="184"/>
      <c r="E131" s="174"/>
      <c r="F131" s="174"/>
      <c r="G131" s="174"/>
      <c r="H131" s="74"/>
      <c r="I131" s="74"/>
      <c r="L131" s="35"/>
    </row>
    <row r="132" spans="1:12" s="224" customFormat="1" ht="33.75" thickTop="1">
      <c r="A132" s="236" t="s">
        <v>52</v>
      </c>
      <c r="B132" s="233" t="s">
        <v>39</v>
      </c>
      <c r="C132" s="249" t="s">
        <v>6</v>
      </c>
      <c r="D132" s="249" t="s">
        <v>7</v>
      </c>
      <c r="E132" s="249" t="s">
        <v>6</v>
      </c>
      <c r="F132" s="249" t="s">
        <v>7</v>
      </c>
      <c r="G132" s="250" t="s">
        <v>16</v>
      </c>
      <c r="H132" s="222" t="s">
        <v>16</v>
      </c>
      <c r="I132" s="237" t="s">
        <v>9</v>
      </c>
    </row>
    <row r="133" spans="1:12" s="2" customFormat="1" ht="15">
      <c r="A133" s="238" t="s">
        <v>40</v>
      </c>
      <c r="B133" s="133" t="s">
        <v>53</v>
      </c>
      <c r="C133" s="147">
        <f>43011.59+103269.65</f>
        <v>146281.24</v>
      </c>
      <c r="D133" s="248">
        <f>43011.59+103269.65</f>
        <v>146281.24</v>
      </c>
      <c r="E133" s="147">
        <f>44240.1+104230.88</f>
        <v>148470.98000000001</v>
      </c>
      <c r="F133" s="148">
        <f>44240.1+104230.88</f>
        <v>148470.98000000001</v>
      </c>
      <c r="G133" s="246">
        <f>D133*100/C133</f>
        <v>100</v>
      </c>
      <c r="H133" s="226">
        <f>F133/E133</f>
        <v>1</v>
      </c>
      <c r="I133" s="210">
        <f>F133/D133-100%</f>
        <v>1.4969383633882449E-2</v>
      </c>
    </row>
    <row r="134" spans="1:12" s="2" customFormat="1" ht="15">
      <c r="A134" s="238" t="s">
        <v>40</v>
      </c>
      <c r="B134" s="133" t="s">
        <v>54</v>
      </c>
      <c r="C134" s="147">
        <f>79213+15000</f>
        <v>94213</v>
      </c>
      <c r="D134" s="248">
        <f>42742.08+7546.85</f>
        <v>50288.93</v>
      </c>
      <c r="E134" s="147">
        <f>69600+6000</f>
        <v>75600</v>
      </c>
      <c r="F134" s="148">
        <f>56990.46+3120.55</f>
        <v>60111.01</v>
      </c>
      <c r="G134" s="246">
        <f t="shared" ref="G134:G143" si="17">D134*100/C134</f>
        <v>53.377909630305794</v>
      </c>
      <c r="H134" s="226">
        <f>F134/E134</f>
        <v>0.79511917989417991</v>
      </c>
      <c r="I134" s="210">
        <f t="shared" ref="I134:I144" si="18">F134/D134-100%</f>
        <v>0.19531296450332114</v>
      </c>
    </row>
    <row r="135" spans="1:12" s="2" customFormat="1" ht="15">
      <c r="A135" s="240" t="s">
        <v>43</v>
      </c>
      <c r="B135" s="133" t="s">
        <v>54</v>
      </c>
      <c r="C135" s="147">
        <v>13590</v>
      </c>
      <c r="D135" s="248">
        <v>0</v>
      </c>
      <c r="E135" s="147">
        <v>0</v>
      </c>
      <c r="F135" s="148">
        <v>0</v>
      </c>
      <c r="G135" s="246">
        <f>D135*100/C135</f>
        <v>0</v>
      </c>
      <c r="H135" s="226">
        <v>0</v>
      </c>
      <c r="I135" s="210">
        <v>0</v>
      </c>
    </row>
    <row r="136" spans="1:12" s="2" customFormat="1" ht="15">
      <c r="A136" s="238" t="s">
        <v>44</v>
      </c>
      <c r="B136" s="133" t="s">
        <v>54</v>
      </c>
      <c r="C136" s="147">
        <v>84344.639999999999</v>
      </c>
      <c r="D136" s="245">
        <v>65679.199999999997</v>
      </c>
      <c r="E136" s="147">
        <v>7715.96</v>
      </c>
      <c r="F136" s="148">
        <v>6608.21</v>
      </c>
      <c r="G136" s="246">
        <f t="shared" si="17"/>
        <v>77.87003418355927</v>
      </c>
      <c r="H136" s="226">
        <f t="shared" ref="H136:H144" si="19">F136/E136</f>
        <v>0.85643393693072545</v>
      </c>
      <c r="I136" s="210">
        <f t="shared" si="18"/>
        <v>-0.89938656378275006</v>
      </c>
    </row>
    <row r="137" spans="1:12" s="2" customFormat="1" ht="15">
      <c r="A137" s="238" t="s">
        <v>40</v>
      </c>
      <c r="B137" s="133" t="s">
        <v>66</v>
      </c>
      <c r="C137" s="147">
        <f>42456+2300</f>
        <v>44756</v>
      </c>
      <c r="D137" s="245">
        <f>17772.76+837.67</f>
        <v>18610.429999999997</v>
      </c>
      <c r="E137" s="147">
        <f>28800+1700</f>
        <v>30500</v>
      </c>
      <c r="F137" s="148">
        <f>26513.21+473</f>
        <v>26986.21</v>
      </c>
      <c r="G137" s="246">
        <f t="shared" si="17"/>
        <v>41.581977835374026</v>
      </c>
      <c r="H137" s="226">
        <f t="shared" si="19"/>
        <v>0.8847937704918033</v>
      </c>
      <c r="I137" s="210">
        <f t="shared" si="18"/>
        <v>0.45005838124105702</v>
      </c>
      <c r="J137" s="38"/>
    </row>
    <row r="138" spans="1:12" s="2" customFormat="1" ht="15">
      <c r="A138" s="240" t="s">
        <v>44</v>
      </c>
      <c r="B138" s="133" t="s">
        <v>66</v>
      </c>
      <c r="C138" s="147">
        <v>4812.2299999999996</v>
      </c>
      <c r="D138" s="245">
        <v>4653.17</v>
      </c>
      <c r="E138" s="147">
        <v>0</v>
      </c>
      <c r="F138" s="148">
        <v>0</v>
      </c>
      <c r="G138" s="246">
        <f t="shared" si="17"/>
        <v>96.694671701061679</v>
      </c>
      <c r="H138" s="226">
        <v>0</v>
      </c>
      <c r="I138" s="210">
        <f t="shared" si="18"/>
        <v>-1</v>
      </c>
    </row>
    <row r="139" spans="1:12" s="2" customFormat="1" ht="15">
      <c r="A139" s="238" t="s">
        <v>40</v>
      </c>
      <c r="B139" s="133" t="s">
        <v>59</v>
      </c>
      <c r="C139" s="147">
        <v>1355848.92</v>
      </c>
      <c r="D139" s="245">
        <v>661444.56999999995</v>
      </c>
      <c r="E139" s="147">
        <v>1463575.5</v>
      </c>
      <c r="F139" s="148">
        <v>749228.19</v>
      </c>
      <c r="G139" s="246">
        <f t="shared" si="17"/>
        <v>48.784533456721711</v>
      </c>
      <c r="H139" s="226">
        <f t="shared" si="19"/>
        <v>0.51191632409807353</v>
      </c>
      <c r="I139" s="210">
        <f t="shared" si="18"/>
        <v>0.13271500588477125</v>
      </c>
    </row>
    <row r="140" spans="1:12" s="2" customFormat="1" ht="15">
      <c r="A140" s="240" t="s">
        <v>43</v>
      </c>
      <c r="B140" s="133" t="s">
        <v>59</v>
      </c>
      <c r="C140" s="262">
        <v>581274</v>
      </c>
      <c r="D140" s="247">
        <v>400245.07</v>
      </c>
      <c r="E140" s="147">
        <v>623879.66</v>
      </c>
      <c r="F140" s="148">
        <v>292108</v>
      </c>
      <c r="G140" s="246">
        <f t="shared" si="17"/>
        <v>68.856523773642039</v>
      </c>
      <c r="H140" s="226">
        <f t="shared" si="19"/>
        <v>0.46821209077404446</v>
      </c>
      <c r="I140" s="210">
        <f t="shared" si="18"/>
        <v>-0.27017714421816619</v>
      </c>
    </row>
    <row r="141" spans="1:12" s="2" customFormat="1" ht="15">
      <c r="A141" s="240" t="s">
        <v>44</v>
      </c>
      <c r="B141" s="133" t="s">
        <v>59</v>
      </c>
      <c r="C141" s="160">
        <v>596658.53</v>
      </c>
      <c r="D141" s="247">
        <v>522054.19</v>
      </c>
      <c r="E141" s="147">
        <v>126108.26</v>
      </c>
      <c r="F141" s="148">
        <v>53569.77</v>
      </c>
      <c r="G141" s="246">
        <f t="shared" si="17"/>
        <v>87.496308818378907</v>
      </c>
      <c r="H141" s="226">
        <f t="shared" si="19"/>
        <v>0.42479192084642192</v>
      </c>
      <c r="I141" s="210">
        <f t="shared" si="18"/>
        <v>-0.89738657207214445</v>
      </c>
    </row>
    <row r="142" spans="1:12" s="2" customFormat="1" ht="15">
      <c r="A142" s="240" t="s">
        <v>67</v>
      </c>
      <c r="B142" s="133" t="s">
        <v>68</v>
      </c>
      <c r="C142" s="160">
        <v>292.5</v>
      </c>
      <c r="D142" s="247">
        <v>238.96</v>
      </c>
      <c r="E142" s="147">
        <f>5053.54+65475</f>
        <v>70528.539999999994</v>
      </c>
      <c r="F142" s="148">
        <v>65475</v>
      </c>
      <c r="G142" s="246">
        <f t="shared" si="17"/>
        <v>81.69572649572649</v>
      </c>
      <c r="H142" s="226">
        <f t="shared" si="19"/>
        <v>0.92834758808278184</v>
      </c>
      <c r="I142" s="210">
        <f t="shared" si="18"/>
        <v>272.99983260796785</v>
      </c>
    </row>
    <row r="143" spans="1:12" s="2" customFormat="1" ht="15">
      <c r="A143" s="240" t="s">
        <v>69</v>
      </c>
      <c r="B143" s="133" t="s">
        <v>54</v>
      </c>
      <c r="C143" s="160">
        <v>0</v>
      </c>
      <c r="D143" s="247">
        <v>0</v>
      </c>
      <c r="E143" s="160">
        <v>5040</v>
      </c>
      <c r="F143" s="161">
        <v>4800</v>
      </c>
      <c r="G143" s="263" t="e">
        <f t="shared" si="17"/>
        <v>#DIV/0!</v>
      </c>
      <c r="H143" s="226">
        <f t="shared" si="19"/>
        <v>0.95238095238095233</v>
      </c>
      <c r="I143" s="210">
        <v>0</v>
      </c>
    </row>
    <row r="144" spans="1:12" s="232" customFormat="1" ht="24.75" customHeight="1" thickBot="1">
      <c r="A144" s="97"/>
      <c r="B144" s="98" t="s">
        <v>14</v>
      </c>
      <c r="C144" s="100">
        <f>SUM(C133:C143)</f>
        <v>2922071.0599999996</v>
      </c>
      <c r="D144" s="100">
        <f>SUM(D133:D143)</f>
        <v>1869495.7599999998</v>
      </c>
      <c r="E144" s="100">
        <f>SUM(E133:E143)</f>
        <v>2551418.9</v>
      </c>
      <c r="F144" s="100">
        <f>SUM(F133:F143)</f>
        <v>1407357.37</v>
      </c>
      <c r="G144" s="103">
        <f>D144/C144*100</f>
        <v>63.978449586369749</v>
      </c>
      <c r="H144" s="99">
        <f t="shared" si="19"/>
        <v>0.55159792459011736</v>
      </c>
      <c r="I144" s="217">
        <f t="shared" si="18"/>
        <v>-0.24719948549121062</v>
      </c>
    </row>
    <row r="145" spans="1:9" ht="12.75" customHeight="1" thickTop="1">
      <c r="A145" s="175"/>
      <c r="B145" s="4"/>
      <c r="C145" s="184"/>
      <c r="D145" s="184"/>
      <c r="E145" s="174"/>
      <c r="F145" s="174"/>
      <c r="G145" s="174"/>
      <c r="H145" s="74"/>
      <c r="I145" s="74"/>
    </row>
    <row r="146" spans="1:9" ht="16.5" thickBot="1">
      <c r="A146" s="1">
        <v>8</v>
      </c>
      <c r="B146" s="72" t="s">
        <v>70</v>
      </c>
      <c r="C146" s="184"/>
      <c r="D146" s="184"/>
      <c r="E146" s="174"/>
      <c r="F146" s="174"/>
      <c r="G146" s="174"/>
      <c r="H146" s="74"/>
      <c r="I146" s="74"/>
    </row>
    <row r="147" spans="1:9" s="224" customFormat="1" ht="33.75" customHeight="1" thickTop="1">
      <c r="A147" s="236" t="s">
        <v>52</v>
      </c>
      <c r="B147" s="233" t="s">
        <v>39</v>
      </c>
      <c r="C147" s="249" t="s">
        <v>6</v>
      </c>
      <c r="D147" s="249" t="s">
        <v>7</v>
      </c>
      <c r="E147" s="249" t="s">
        <v>6</v>
      </c>
      <c r="F147" s="249" t="s">
        <v>7</v>
      </c>
      <c r="G147" s="250" t="s">
        <v>16</v>
      </c>
      <c r="H147" s="222" t="s">
        <v>16</v>
      </c>
      <c r="I147" s="237" t="s">
        <v>9</v>
      </c>
    </row>
    <row r="148" spans="1:9">
      <c r="A148" s="167" t="s">
        <v>40</v>
      </c>
      <c r="B148" s="153" t="s">
        <v>53</v>
      </c>
      <c r="C148" s="154">
        <v>27602.7</v>
      </c>
      <c r="D148" s="176">
        <v>27602.7</v>
      </c>
      <c r="E148" s="154">
        <v>28448.67</v>
      </c>
      <c r="F148" s="155">
        <v>28448.67</v>
      </c>
      <c r="G148" s="177">
        <f>D148*100/C148</f>
        <v>100</v>
      </c>
      <c r="H148" s="143">
        <f>F148/E148</f>
        <v>1</v>
      </c>
      <c r="I148" s="134">
        <f>F148/D148-100%</f>
        <v>3.064808877392422E-2</v>
      </c>
    </row>
    <row r="149" spans="1:9">
      <c r="A149" s="167" t="s">
        <v>40</v>
      </c>
      <c r="B149" s="153" t="s">
        <v>54</v>
      </c>
      <c r="C149" s="154">
        <v>3220</v>
      </c>
      <c r="D149" s="176">
        <v>283.32</v>
      </c>
      <c r="E149" s="154">
        <v>1800</v>
      </c>
      <c r="F149" s="155">
        <v>140</v>
      </c>
      <c r="G149" s="177">
        <f>D149*100/C149</f>
        <v>8.7987577639751553</v>
      </c>
      <c r="H149" s="143">
        <f>F149/E149</f>
        <v>7.7777777777777779E-2</v>
      </c>
      <c r="I149" s="134">
        <f>F149/D149-100%</f>
        <v>-0.50585909925172956</v>
      </c>
    </row>
    <row r="150" spans="1:9">
      <c r="A150" s="168" t="s">
        <v>43</v>
      </c>
      <c r="B150" s="169" t="s">
        <v>56</v>
      </c>
      <c r="C150" s="157">
        <v>2000</v>
      </c>
      <c r="D150" s="178">
        <v>0</v>
      </c>
      <c r="E150" s="154">
        <v>2000</v>
      </c>
      <c r="F150" s="155">
        <v>0</v>
      </c>
      <c r="G150" s="177">
        <f>D150*100/C150</f>
        <v>0</v>
      </c>
      <c r="H150" s="143">
        <f>F150/E150</f>
        <v>0</v>
      </c>
      <c r="I150" s="134">
        <v>0</v>
      </c>
    </row>
    <row r="151" spans="1:9">
      <c r="A151" s="168" t="s">
        <v>44</v>
      </c>
      <c r="B151" s="169" t="s">
        <v>56</v>
      </c>
      <c r="C151" s="157">
        <v>500</v>
      </c>
      <c r="D151" s="178">
        <v>0</v>
      </c>
      <c r="E151" s="154">
        <v>0</v>
      </c>
      <c r="F151" s="155">
        <v>0</v>
      </c>
      <c r="G151" s="177">
        <f>D151*100/C151</f>
        <v>0</v>
      </c>
      <c r="H151" s="143">
        <v>0</v>
      </c>
      <c r="I151" s="134">
        <v>0</v>
      </c>
    </row>
    <row r="152" spans="1:9" s="74" customFormat="1" ht="17.25" customHeight="1" thickBot="1">
      <c r="A152" s="144"/>
      <c r="B152" s="151" t="s">
        <v>14</v>
      </c>
      <c r="C152" s="152">
        <f>SUM(C148:C151)</f>
        <v>33322.699999999997</v>
      </c>
      <c r="D152" s="152">
        <f>SUM(D148:D151)</f>
        <v>27886.02</v>
      </c>
      <c r="E152" s="152">
        <f>SUM(E148:E151)</f>
        <v>32248.67</v>
      </c>
      <c r="F152" s="152">
        <f>SUM(F148:F151)</f>
        <v>28588.67</v>
      </c>
      <c r="G152" s="179">
        <f>D152*100/C152</f>
        <v>83.684755436984403</v>
      </c>
      <c r="H152" s="78">
        <f>F152/E152</f>
        <v>0.88650694741829661</v>
      </c>
      <c r="I152" s="77">
        <f>F152/D152-100%</f>
        <v>2.5197213514154937E-2</v>
      </c>
    </row>
    <row r="153" spans="1:9" ht="13.5" thickTop="1">
      <c r="A153" s="175"/>
      <c r="B153" s="4"/>
      <c r="C153" s="184"/>
      <c r="D153" s="184"/>
      <c r="E153" s="174"/>
      <c r="F153" s="174"/>
      <c r="G153" s="174"/>
      <c r="H153" s="74"/>
      <c r="I153" s="74"/>
    </row>
    <row r="154" spans="1:9" ht="15" customHeight="1" thickBot="1">
      <c r="A154" s="1">
        <v>9</v>
      </c>
      <c r="B154" s="72" t="s">
        <v>71</v>
      </c>
      <c r="C154" s="184"/>
      <c r="D154" s="184"/>
      <c r="E154" s="174"/>
      <c r="F154" s="174"/>
      <c r="G154" s="174"/>
      <c r="H154" s="74"/>
      <c r="I154" s="74"/>
    </row>
    <row r="155" spans="1:9" ht="30.75" customHeight="1" thickTop="1">
      <c r="A155" s="158" t="s">
        <v>52</v>
      </c>
      <c r="B155" s="65" t="s">
        <v>39</v>
      </c>
      <c r="C155" s="66" t="s">
        <v>6</v>
      </c>
      <c r="D155" s="66" t="s">
        <v>7</v>
      </c>
      <c r="E155" s="66" t="s">
        <v>6</v>
      </c>
      <c r="F155" s="66" t="s">
        <v>7</v>
      </c>
      <c r="G155" s="76" t="s">
        <v>16</v>
      </c>
      <c r="H155" s="141" t="s">
        <v>16</v>
      </c>
      <c r="I155" s="159" t="s">
        <v>9</v>
      </c>
    </row>
    <row r="156" spans="1:9" s="2" customFormat="1" ht="14.25" customHeight="1">
      <c r="A156" s="238" t="s">
        <v>40</v>
      </c>
      <c r="B156" s="133" t="s">
        <v>53</v>
      </c>
      <c r="C156" s="147">
        <f>17263.05+30768.73</f>
        <v>48031.78</v>
      </c>
      <c r="D156" s="245">
        <f>17263.05+30768.73</f>
        <v>48031.78</v>
      </c>
      <c r="E156" s="147">
        <f>20764.77+27938.54</f>
        <v>48703.31</v>
      </c>
      <c r="F156" s="148">
        <f>20764.77+27938.54</f>
        <v>48703.31</v>
      </c>
      <c r="G156" s="246">
        <f t="shared" ref="G156:G162" si="20">D156*100/C156</f>
        <v>100</v>
      </c>
      <c r="H156" s="226">
        <f t="shared" ref="H156:H162" si="21">F156/E156</f>
        <v>1</v>
      </c>
      <c r="I156" s="210">
        <f>F156/D156-100%</f>
        <v>1.398095177817682E-2</v>
      </c>
    </row>
    <row r="157" spans="1:9" s="2" customFormat="1" ht="14.25" customHeight="1">
      <c r="A157" s="238" t="s">
        <v>40</v>
      </c>
      <c r="B157" s="133" t="s">
        <v>54</v>
      </c>
      <c r="C157" s="147">
        <f>3000+4000</f>
        <v>7000</v>
      </c>
      <c r="D157" s="245">
        <f>1346.76+1169.4</f>
        <v>2516.16</v>
      </c>
      <c r="E157" s="147">
        <f>1350+1300</f>
        <v>2650</v>
      </c>
      <c r="F157" s="148">
        <f>1297.8+537.33</f>
        <v>1835.13</v>
      </c>
      <c r="G157" s="246">
        <f t="shared" si="20"/>
        <v>35.945142857142855</v>
      </c>
      <c r="H157" s="226">
        <f t="shared" si="21"/>
        <v>0.69250188679245284</v>
      </c>
      <c r="I157" s="210">
        <f t="shared" ref="I157:I162" si="22">F157/D157-100%</f>
        <v>-0.27066243800076295</v>
      </c>
    </row>
    <row r="158" spans="1:9" s="2" customFormat="1" ht="14.25" customHeight="1">
      <c r="A158" s="238" t="s">
        <v>72</v>
      </c>
      <c r="B158" s="133" t="s">
        <v>56</v>
      </c>
      <c r="C158" s="147">
        <v>0</v>
      </c>
      <c r="D158" s="245">
        <v>0</v>
      </c>
      <c r="E158" s="147">
        <v>26100</v>
      </c>
      <c r="F158" s="148">
        <v>0</v>
      </c>
      <c r="G158" s="246">
        <v>0</v>
      </c>
      <c r="H158" s="226">
        <f t="shared" si="21"/>
        <v>0</v>
      </c>
      <c r="I158" s="210">
        <v>0</v>
      </c>
    </row>
    <row r="159" spans="1:9" s="2" customFormat="1" ht="15">
      <c r="A159" s="238" t="s">
        <v>43</v>
      </c>
      <c r="B159" s="133" t="s">
        <v>56</v>
      </c>
      <c r="C159" s="248">
        <v>12000</v>
      </c>
      <c r="D159" s="245">
        <v>8765</v>
      </c>
      <c r="E159" s="147">
        <v>91679</v>
      </c>
      <c r="F159" s="148">
        <v>0</v>
      </c>
      <c r="G159" s="246">
        <f t="shared" si="20"/>
        <v>73.041666666666671</v>
      </c>
      <c r="H159" s="226">
        <f t="shared" si="21"/>
        <v>0</v>
      </c>
      <c r="I159" s="210">
        <f t="shared" si="22"/>
        <v>-1</v>
      </c>
    </row>
    <row r="160" spans="1:9" s="2" customFormat="1" ht="15">
      <c r="A160" s="238" t="s">
        <v>44</v>
      </c>
      <c r="B160" s="133" t="s">
        <v>56</v>
      </c>
      <c r="C160" s="160">
        <v>5315.52</v>
      </c>
      <c r="D160" s="160">
        <v>141</v>
      </c>
      <c r="E160" s="147">
        <v>3000.52</v>
      </c>
      <c r="F160" s="148">
        <v>1000</v>
      </c>
      <c r="G160" s="246">
        <f t="shared" si="20"/>
        <v>2.6526097164529525</v>
      </c>
      <c r="H160" s="226">
        <f t="shared" si="21"/>
        <v>0.33327556556863475</v>
      </c>
      <c r="I160" s="210">
        <f t="shared" si="22"/>
        <v>6.0921985815602833</v>
      </c>
    </row>
    <row r="161" spans="1:9" s="2" customFormat="1" ht="15">
      <c r="A161" s="240" t="s">
        <v>73</v>
      </c>
      <c r="B161" s="135" t="s">
        <v>74</v>
      </c>
      <c r="C161" s="160">
        <v>191.67</v>
      </c>
      <c r="D161" s="160">
        <v>0</v>
      </c>
      <c r="E161" s="147">
        <f>C161-D161</f>
        <v>191.67</v>
      </c>
      <c r="F161" s="161">
        <v>0</v>
      </c>
      <c r="G161" s="263">
        <f t="shared" si="20"/>
        <v>0</v>
      </c>
      <c r="H161" s="226">
        <f t="shared" si="21"/>
        <v>0</v>
      </c>
      <c r="I161" s="210">
        <v>0</v>
      </c>
    </row>
    <row r="162" spans="1:9" s="232" customFormat="1" ht="18.75" customHeight="1" thickBot="1">
      <c r="A162" s="102"/>
      <c r="B162" s="98" t="s">
        <v>14</v>
      </c>
      <c r="C162" s="100">
        <f>SUM(C156:C161)</f>
        <v>72538.97</v>
      </c>
      <c r="D162" s="100">
        <f>SUM(D156:D161)</f>
        <v>59453.94</v>
      </c>
      <c r="E162" s="100">
        <f>SUM(E156:E161)</f>
        <v>172324.5</v>
      </c>
      <c r="F162" s="100">
        <f>SUM(F156:F161)</f>
        <v>51538.439999999995</v>
      </c>
      <c r="G162" s="103">
        <f t="shared" si="20"/>
        <v>81.961378828511073</v>
      </c>
      <c r="H162" s="99">
        <f t="shared" si="21"/>
        <v>0.2990778444156228</v>
      </c>
      <c r="I162" s="217">
        <f t="shared" si="22"/>
        <v>-0.1331366768964346</v>
      </c>
    </row>
    <row r="163" spans="1:9" ht="9" customHeight="1" thickTop="1">
      <c r="A163" s="175"/>
      <c r="B163" s="4"/>
      <c r="C163" s="184"/>
      <c r="D163" s="184"/>
      <c r="E163" s="174"/>
      <c r="F163" s="174"/>
      <c r="G163" s="174"/>
      <c r="H163" s="74"/>
      <c r="I163" s="74"/>
    </row>
    <row r="164" spans="1:9" ht="16.5" thickBot="1">
      <c r="A164" s="1">
        <v>10</v>
      </c>
      <c r="B164" s="72" t="s">
        <v>75</v>
      </c>
      <c r="C164" s="184"/>
      <c r="D164" s="184"/>
      <c r="E164" s="174"/>
      <c r="F164" s="174"/>
      <c r="G164" s="174"/>
      <c r="H164" s="74"/>
      <c r="I164" s="74"/>
    </row>
    <row r="165" spans="1:9" ht="34.5" customHeight="1" thickTop="1">
      <c r="A165" s="158" t="s">
        <v>52</v>
      </c>
      <c r="B165" s="65" t="s">
        <v>39</v>
      </c>
      <c r="C165" s="66" t="s">
        <v>6</v>
      </c>
      <c r="D165" s="66" t="s">
        <v>7</v>
      </c>
      <c r="E165" s="66" t="s">
        <v>6</v>
      </c>
      <c r="F165" s="66" t="s">
        <v>7</v>
      </c>
      <c r="G165" s="76" t="s">
        <v>16</v>
      </c>
      <c r="H165" s="141" t="s">
        <v>16</v>
      </c>
      <c r="I165" s="159" t="s">
        <v>9</v>
      </c>
    </row>
    <row r="166" spans="1:9" s="2" customFormat="1" ht="15">
      <c r="A166" s="238" t="s">
        <v>40</v>
      </c>
      <c r="B166" s="133" t="s">
        <v>53</v>
      </c>
      <c r="C166" s="147">
        <v>19976.8</v>
      </c>
      <c r="D166" s="245">
        <v>19976.8</v>
      </c>
      <c r="E166" s="147">
        <v>20491.259999999998</v>
      </c>
      <c r="F166" s="148">
        <v>20491.259999999998</v>
      </c>
      <c r="G166" s="246">
        <f>D166*100/C166</f>
        <v>100</v>
      </c>
      <c r="H166" s="226">
        <f>F166/E166</f>
        <v>1</v>
      </c>
      <c r="I166" s="210">
        <f>F166/D166-100%</f>
        <v>2.5752873333066306E-2</v>
      </c>
    </row>
    <row r="167" spans="1:9" s="2" customFormat="1" ht="15">
      <c r="A167" s="238" t="s">
        <v>40</v>
      </c>
      <c r="B167" s="133" t="s">
        <v>54</v>
      </c>
      <c r="C167" s="147">
        <v>1800</v>
      </c>
      <c r="D167" s="245">
        <v>917.4</v>
      </c>
      <c r="E167" s="147">
        <v>1550</v>
      </c>
      <c r="F167" s="148">
        <v>426.9</v>
      </c>
      <c r="G167" s="246">
        <f>D167*100/C167</f>
        <v>50.966666666666669</v>
      </c>
      <c r="H167" s="226">
        <f>F167/E167</f>
        <v>0.27541935483870966</v>
      </c>
      <c r="I167" s="210">
        <f>F167/D167-100%</f>
        <v>-0.53466317854807066</v>
      </c>
    </row>
    <row r="168" spans="1:9" s="74" customFormat="1" ht="18.75" customHeight="1" thickBot="1">
      <c r="A168" s="144"/>
      <c r="B168" s="151" t="s">
        <v>14</v>
      </c>
      <c r="C168" s="152">
        <f>SUM(C166:C167)</f>
        <v>21776.799999999999</v>
      </c>
      <c r="D168" s="152">
        <f>SUM(D166:D167)</f>
        <v>20894.2</v>
      </c>
      <c r="E168" s="152">
        <f>SUM(E166:E167)</f>
        <v>22041.26</v>
      </c>
      <c r="F168" s="152">
        <f>SUM(F166:F167)</f>
        <v>20918.16</v>
      </c>
      <c r="G168" s="179">
        <f>D168*100/C168</f>
        <v>95.947062929356022</v>
      </c>
      <c r="H168" s="78">
        <f>F168/E168</f>
        <v>0.94904556273098728</v>
      </c>
      <c r="I168" s="77">
        <f>F168/D168-100%</f>
        <v>1.1467297144662769E-3</v>
      </c>
    </row>
    <row r="169" spans="1:9" ht="6" customHeight="1" thickTop="1">
      <c r="A169" s="175"/>
      <c r="B169" s="4"/>
      <c r="C169" s="184"/>
      <c r="D169" s="184"/>
      <c r="E169" s="174"/>
      <c r="F169" s="174"/>
      <c r="G169" s="174"/>
      <c r="H169" s="74"/>
      <c r="I169" s="74"/>
    </row>
    <row r="170" spans="1:9" ht="16.5" thickBot="1">
      <c r="A170" s="1">
        <v>11</v>
      </c>
      <c r="B170" s="72" t="s">
        <v>76</v>
      </c>
      <c r="C170" s="184"/>
      <c r="D170" s="184"/>
      <c r="E170" s="174"/>
      <c r="F170" s="174"/>
      <c r="G170" s="174"/>
      <c r="H170" s="74"/>
      <c r="I170" s="74"/>
    </row>
    <row r="171" spans="1:9" ht="32.25" customHeight="1" thickTop="1">
      <c r="A171" s="158" t="s">
        <v>52</v>
      </c>
      <c r="B171" s="65" t="s">
        <v>39</v>
      </c>
      <c r="C171" s="66" t="s">
        <v>6</v>
      </c>
      <c r="D171" s="66" t="s">
        <v>7</v>
      </c>
      <c r="E171" s="66" t="s">
        <v>6</v>
      </c>
      <c r="F171" s="66" t="s">
        <v>7</v>
      </c>
      <c r="G171" s="76" t="s">
        <v>16</v>
      </c>
      <c r="H171" s="188" t="s">
        <v>16</v>
      </c>
      <c r="I171" s="159" t="s">
        <v>9</v>
      </c>
    </row>
    <row r="172" spans="1:9" s="2" customFormat="1" ht="15">
      <c r="A172" s="238" t="s">
        <v>40</v>
      </c>
      <c r="B172" s="133" t="s">
        <v>53</v>
      </c>
      <c r="C172" s="147">
        <v>38524.769999999997</v>
      </c>
      <c r="D172" s="245">
        <v>38524.769999999997</v>
      </c>
      <c r="E172" s="147">
        <v>40740.01</v>
      </c>
      <c r="F172" s="148">
        <v>40740.01</v>
      </c>
      <c r="G172" s="246">
        <f>D172*100/C172</f>
        <v>100</v>
      </c>
      <c r="H172" s="226">
        <f>F172/E172</f>
        <v>1</v>
      </c>
      <c r="I172" s="210">
        <f>F172/D172-100%</f>
        <v>5.7501706045227641E-2</v>
      </c>
    </row>
    <row r="173" spans="1:9" s="2" customFormat="1" ht="15">
      <c r="A173" s="238" t="s">
        <v>40</v>
      </c>
      <c r="B173" s="133" t="s">
        <v>54</v>
      </c>
      <c r="C173" s="147">
        <v>3140</v>
      </c>
      <c r="D173" s="245">
        <v>624.99</v>
      </c>
      <c r="E173" s="147">
        <v>1800</v>
      </c>
      <c r="F173" s="148">
        <v>1317.6</v>
      </c>
      <c r="G173" s="246">
        <f>D173*100/C173</f>
        <v>19.904140127388533</v>
      </c>
      <c r="H173" s="226">
        <f>F173/E173</f>
        <v>0.73199999999999998</v>
      </c>
      <c r="I173" s="210">
        <f>F173/D173-100%</f>
        <v>1.1081937310996972</v>
      </c>
    </row>
    <row r="174" spans="1:9" s="266" customFormat="1" ht="18" customHeight="1" thickBot="1">
      <c r="A174" s="264"/>
      <c r="B174" s="265" t="s">
        <v>14</v>
      </c>
      <c r="C174" s="100">
        <f>SUM(C172:C173)</f>
        <v>41664.769999999997</v>
      </c>
      <c r="D174" s="100">
        <f>SUM(D172:D173)</f>
        <v>39149.759999999995</v>
      </c>
      <c r="E174" s="100">
        <f>SUM(E172:E173)</f>
        <v>42540.01</v>
      </c>
      <c r="F174" s="100">
        <f>SUM(F172:F173)</f>
        <v>42057.61</v>
      </c>
      <c r="G174" s="103">
        <f>D174*100/C174</f>
        <v>93.963701227679877</v>
      </c>
      <c r="H174" s="99">
        <f>F174/E174</f>
        <v>0.98866008729193999</v>
      </c>
      <c r="I174" s="217">
        <f>F174/D174-100%</f>
        <v>7.4275040255674885E-2</v>
      </c>
    </row>
    <row r="175" spans="1:9" ht="13.5" thickTop="1">
      <c r="A175" s="175"/>
      <c r="B175" s="4"/>
      <c r="C175" s="184"/>
      <c r="D175" s="184"/>
      <c r="E175" s="174"/>
      <c r="F175" s="174"/>
      <c r="G175" s="174"/>
      <c r="H175" s="74"/>
      <c r="I175" s="74"/>
    </row>
    <row r="176" spans="1:9" ht="16.5" thickBot="1">
      <c r="A176" s="1">
        <v>12</v>
      </c>
      <c r="B176" s="72" t="s">
        <v>77</v>
      </c>
      <c r="C176" s="184"/>
      <c r="D176" s="184"/>
      <c r="E176" s="174"/>
      <c r="F176" s="174"/>
      <c r="G176" s="174"/>
      <c r="H176" s="74"/>
      <c r="I176" s="74"/>
    </row>
    <row r="177" spans="1:10" ht="32.25" thickTop="1">
      <c r="A177" s="158" t="s">
        <v>52</v>
      </c>
      <c r="B177" s="65" t="s">
        <v>39</v>
      </c>
      <c r="C177" s="66" t="s">
        <v>6</v>
      </c>
      <c r="D177" s="66" t="s">
        <v>7</v>
      </c>
      <c r="E177" s="66" t="s">
        <v>6</v>
      </c>
      <c r="F177" s="66" t="s">
        <v>7</v>
      </c>
      <c r="G177" s="76" t="s">
        <v>16</v>
      </c>
      <c r="H177" s="188" t="s">
        <v>16</v>
      </c>
      <c r="I177" s="159" t="s">
        <v>9</v>
      </c>
    </row>
    <row r="178" spans="1:10" s="2" customFormat="1" ht="12" customHeight="1">
      <c r="A178" s="238" t="s">
        <v>40</v>
      </c>
      <c r="B178" s="133" t="s">
        <v>53</v>
      </c>
      <c r="C178" s="147">
        <v>25464.2</v>
      </c>
      <c r="D178" s="245">
        <v>25464.2</v>
      </c>
      <c r="E178" s="147">
        <v>22857.66</v>
      </c>
      <c r="F178" s="148">
        <v>22857.66</v>
      </c>
      <c r="G178" s="246">
        <f>D178*100/C178</f>
        <v>100</v>
      </c>
      <c r="H178" s="226">
        <f>F178/E178</f>
        <v>1</v>
      </c>
      <c r="I178" s="210">
        <f>F178/D178-100%</f>
        <v>-0.10236096166382613</v>
      </c>
    </row>
    <row r="179" spans="1:10" s="2" customFormat="1" ht="15">
      <c r="A179" s="238" t="s">
        <v>40</v>
      </c>
      <c r="B179" s="133" t="s">
        <v>54</v>
      </c>
      <c r="C179" s="147">
        <v>2000</v>
      </c>
      <c r="D179" s="245">
        <v>1071.77</v>
      </c>
      <c r="E179" s="147">
        <v>1800</v>
      </c>
      <c r="F179" s="148">
        <v>690.87</v>
      </c>
      <c r="G179" s="246">
        <f>D179*100/C179</f>
        <v>53.588500000000003</v>
      </c>
      <c r="H179" s="226">
        <f>F179/E179</f>
        <v>0.38381666666666669</v>
      </c>
      <c r="I179" s="210">
        <f>F179/D179-100%</f>
        <v>-0.35539341463187057</v>
      </c>
    </row>
    <row r="180" spans="1:10" s="2" customFormat="1" ht="15">
      <c r="A180" s="238" t="s">
        <v>40</v>
      </c>
      <c r="B180" s="135" t="s">
        <v>74</v>
      </c>
      <c r="C180" s="160">
        <v>51075.839999999997</v>
      </c>
      <c r="D180" s="247">
        <v>49391.35</v>
      </c>
      <c r="E180" s="147">
        <v>20000</v>
      </c>
      <c r="F180" s="148">
        <v>17735.099999999999</v>
      </c>
      <c r="G180" s="246">
        <f>D180*100/C180</f>
        <v>96.701982776984195</v>
      </c>
      <c r="H180" s="226">
        <f>F180/E180</f>
        <v>0.88675499999999996</v>
      </c>
      <c r="I180" s="210">
        <f>F180/D180-100%</f>
        <v>-0.64092700442486383</v>
      </c>
    </row>
    <row r="181" spans="1:10" s="2" customFormat="1" ht="15">
      <c r="A181" s="238" t="s">
        <v>44</v>
      </c>
      <c r="B181" s="135" t="s">
        <v>74</v>
      </c>
      <c r="C181" s="160">
        <v>0</v>
      </c>
      <c r="D181" s="247">
        <v>0</v>
      </c>
      <c r="E181" s="160">
        <v>45308.65</v>
      </c>
      <c r="F181" s="161">
        <v>45190.61</v>
      </c>
      <c r="G181" s="263">
        <v>0</v>
      </c>
      <c r="H181" s="226">
        <f>F181/E181</f>
        <v>0.99739475795460686</v>
      </c>
      <c r="I181" s="210">
        <v>0</v>
      </c>
    </row>
    <row r="182" spans="1:10" s="74" customFormat="1" ht="19.5" customHeight="1" thickBot="1">
      <c r="A182" s="144"/>
      <c r="B182" s="151" t="s">
        <v>14</v>
      </c>
      <c r="C182" s="152">
        <f>SUM(C178:C181)</f>
        <v>78540.039999999994</v>
      </c>
      <c r="D182" s="152">
        <f>SUM(D178:D181)</f>
        <v>75927.320000000007</v>
      </c>
      <c r="E182" s="152">
        <f>SUM(E178:E181)</f>
        <v>89966.31</v>
      </c>
      <c r="F182" s="152">
        <f>SUM(F178:F181)</f>
        <v>86474.239999999991</v>
      </c>
      <c r="G182" s="179">
        <f>D182*100/C182</f>
        <v>96.673391049966384</v>
      </c>
      <c r="H182" s="78">
        <f>F182/E182</f>
        <v>0.96118469235872839</v>
      </c>
      <c r="I182" s="77">
        <f>F182/D182-100%</f>
        <v>0.13890810317024216</v>
      </c>
    </row>
    <row r="183" spans="1:10" s="224" customFormat="1" ht="19.5" customHeight="1" thickTop="1">
      <c r="A183" s="267"/>
      <c r="B183" s="268"/>
      <c r="C183" s="269"/>
      <c r="D183" s="269"/>
      <c r="E183" s="270"/>
      <c r="F183" s="270"/>
      <c r="G183" s="271"/>
      <c r="H183" s="232"/>
      <c r="I183" s="232"/>
    </row>
    <row r="184" spans="1:10" s="224" customFormat="1" ht="18.75" customHeight="1" thickBot="1">
      <c r="A184" s="272">
        <v>13</v>
      </c>
      <c r="B184" s="273" t="s">
        <v>78</v>
      </c>
      <c r="C184" s="269"/>
      <c r="D184" s="269"/>
      <c r="E184" s="269"/>
      <c r="F184" s="269"/>
      <c r="G184" s="274"/>
      <c r="H184" s="232"/>
      <c r="I184" s="232"/>
    </row>
    <row r="185" spans="1:10" ht="34.5" customHeight="1" thickTop="1">
      <c r="A185" s="158" t="s">
        <v>52</v>
      </c>
      <c r="B185" s="65" t="s">
        <v>39</v>
      </c>
      <c r="C185" s="66" t="s">
        <v>6</v>
      </c>
      <c r="D185" s="66" t="s">
        <v>7</v>
      </c>
      <c r="E185" s="66" t="s">
        <v>6</v>
      </c>
      <c r="F185" s="66" t="s">
        <v>7</v>
      </c>
      <c r="G185" s="76" t="s">
        <v>16</v>
      </c>
      <c r="H185" s="188" t="s">
        <v>16</v>
      </c>
      <c r="I185" s="159" t="s">
        <v>9</v>
      </c>
    </row>
    <row r="186" spans="1:10" s="2" customFormat="1" ht="15.75" customHeight="1">
      <c r="A186" s="238" t="s">
        <v>40</v>
      </c>
      <c r="B186" s="133" t="s">
        <v>53</v>
      </c>
      <c r="C186" s="147">
        <f>25372.54+1077152.9</f>
        <v>1102525.4399999999</v>
      </c>
      <c r="D186" s="245">
        <f>25372.54+1077152.9</f>
        <v>1102525.4399999999</v>
      </c>
      <c r="E186" s="147">
        <f>28535.05+1071433.32</f>
        <v>1099968.3700000001</v>
      </c>
      <c r="F186" s="148">
        <f>28535.05+1125767.02</f>
        <v>1154302.07</v>
      </c>
      <c r="G186" s="246">
        <f>D186*100/C186</f>
        <v>100</v>
      </c>
      <c r="H186" s="226">
        <f>F186/E186</f>
        <v>1.0493956930779746</v>
      </c>
      <c r="I186" s="210">
        <f t="shared" ref="I186:I197" si="23">F186/D186-100%</f>
        <v>4.6961846068604096E-2</v>
      </c>
      <c r="J186" s="38"/>
    </row>
    <row r="187" spans="1:10" s="2" customFormat="1" ht="13.5" customHeight="1">
      <c r="A187" s="238" t="s">
        <v>40</v>
      </c>
      <c r="B187" s="133" t="s">
        <v>54</v>
      </c>
      <c r="C187" s="147">
        <f>2000+60000</f>
        <v>62000</v>
      </c>
      <c r="D187" s="245">
        <f>617.5+25899.03</f>
        <v>26516.53</v>
      </c>
      <c r="E187" s="147">
        <f>1600+64000</f>
        <v>65600</v>
      </c>
      <c r="F187" s="148">
        <f>755.23+34686.77</f>
        <v>35442</v>
      </c>
      <c r="G187" s="246">
        <f t="shared" ref="G187:G196" si="24">D187*100/C187</f>
        <v>42.768596774193547</v>
      </c>
      <c r="H187" s="226">
        <f t="shared" ref="H187:H196" si="25">F187/E187</f>
        <v>0.54027439024390245</v>
      </c>
      <c r="I187" s="210">
        <f t="shared" si="23"/>
        <v>0.33660022634937525</v>
      </c>
    </row>
    <row r="188" spans="1:10" s="2" customFormat="1" ht="13.5" customHeight="1">
      <c r="A188" s="238" t="s">
        <v>43</v>
      </c>
      <c r="B188" s="133" t="s">
        <v>54</v>
      </c>
      <c r="C188" s="248">
        <v>22849.5</v>
      </c>
      <c r="D188" s="245">
        <v>17268.009999999998</v>
      </c>
      <c r="E188" s="147">
        <f>13000</f>
        <v>13000</v>
      </c>
      <c r="F188" s="148">
        <v>5374.65</v>
      </c>
      <c r="G188" s="246">
        <f t="shared" si="24"/>
        <v>75.572813409483786</v>
      </c>
      <c r="H188" s="226">
        <f t="shared" si="25"/>
        <v>0.41343461538461534</v>
      </c>
      <c r="I188" s="210">
        <f t="shared" si="23"/>
        <v>-0.68875104890488248</v>
      </c>
    </row>
    <row r="189" spans="1:10" s="2" customFormat="1" ht="14.25" customHeight="1">
      <c r="A189" s="238" t="s">
        <v>44</v>
      </c>
      <c r="B189" s="133" t="s">
        <v>54</v>
      </c>
      <c r="C189" s="147">
        <v>469.89</v>
      </c>
      <c r="D189" s="245">
        <v>200</v>
      </c>
      <c r="E189" s="147">
        <f>9982.67</f>
        <v>9982.67</v>
      </c>
      <c r="F189" s="148">
        <v>0</v>
      </c>
      <c r="G189" s="246">
        <f t="shared" si="24"/>
        <v>42.563153078380047</v>
      </c>
      <c r="H189" s="226">
        <f t="shared" si="25"/>
        <v>0</v>
      </c>
      <c r="I189" s="210">
        <f t="shared" si="23"/>
        <v>-1</v>
      </c>
    </row>
    <row r="190" spans="1:10" s="2" customFormat="1" ht="14.25" customHeight="1">
      <c r="A190" s="238" t="s">
        <v>40</v>
      </c>
      <c r="B190" s="133" t="s">
        <v>55</v>
      </c>
      <c r="C190" s="147">
        <v>25000</v>
      </c>
      <c r="D190" s="245">
        <v>20719.73</v>
      </c>
      <c r="E190" s="147">
        <v>20000</v>
      </c>
      <c r="F190" s="148">
        <v>19917.080000000002</v>
      </c>
      <c r="G190" s="246">
        <f t="shared" si="24"/>
        <v>82.878919999999994</v>
      </c>
      <c r="H190" s="226">
        <f t="shared" si="25"/>
        <v>0.99585400000000013</v>
      </c>
      <c r="I190" s="210">
        <f t="shared" si="23"/>
        <v>-3.8738439159197391E-2</v>
      </c>
    </row>
    <row r="191" spans="1:10" s="2" customFormat="1" ht="14.25" customHeight="1">
      <c r="A191" s="238" t="s">
        <v>41</v>
      </c>
      <c r="B191" s="133" t="s">
        <v>53</v>
      </c>
      <c r="C191" s="147">
        <v>13633.33</v>
      </c>
      <c r="D191" s="245">
        <v>11133.33</v>
      </c>
      <c r="E191" s="147">
        <v>2000</v>
      </c>
      <c r="F191" s="148">
        <v>0</v>
      </c>
      <c r="G191" s="246">
        <f t="shared" si="24"/>
        <v>81.662587203566559</v>
      </c>
      <c r="H191" s="226">
        <f t="shared" si="25"/>
        <v>0</v>
      </c>
      <c r="I191" s="210">
        <f t="shared" si="23"/>
        <v>-1</v>
      </c>
    </row>
    <row r="192" spans="1:10" s="2" customFormat="1" ht="14.25" customHeight="1">
      <c r="A192" s="238" t="s">
        <v>47</v>
      </c>
      <c r="B192" s="133" t="s">
        <v>53</v>
      </c>
      <c r="C192" s="147">
        <v>0</v>
      </c>
      <c r="D192" s="245">
        <v>0</v>
      </c>
      <c r="E192" s="147">
        <v>10866.74</v>
      </c>
      <c r="F192" s="148">
        <v>10866.74</v>
      </c>
      <c r="G192" s="246" t="e">
        <f t="shared" si="24"/>
        <v>#DIV/0!</v>
      </c>
      <c r="H192" s="226">
        <f t="shared" si="25"/>
        <v>1</v>
      </c>
      <c r="I192" s="210">
        <v>0</v>
      </c>
    </row>
    <row r="193" spans="1:10" s="2" customFormat="1" ht="14.25" customHeight="1">
      <c r="A193" s="238" t="s">
        <v>47</v>
      </c>
      <c r="B193" s="133" t="s">
        <v>55</v>
      </c>
      <c r="C193" s="147">
        <v>4232.75</v>
      </c>
      <c r="D193" s="245">
        <v>4232.75</v>
      </c>
      <c r="E193" s="147">
        <v>227.1</v>
      </c>
      <c r="F193" s="148">
        <v>227.1</v>
      </c>
      <c r="G193" s="246">
        <f t="shared" si="24"/>
        <v>100</v>
      </c>
      <c r="H193" s="226">
        <f t="shared" si="25"/>
        <v>1</v>
      </c>
      <c r="I193" s="210">
        <f t="shared" si="23"/>
        <v>-0.94634693757013766</v>
      </c>
    </row>
    <row r="194" spans="1:10" s="2" customFormat="1" ht="15" customHeight="1">
      <c r="A194" s="238" t="s">
        <v>44</v>
      </c>
      <c r="B194" s="133" t="s">
        <v>56</v>
      </c>
      <c r="C194" s="147">
        <v>300.5</v>
      </c>
      <c r="D194" s="245">
        <v>300</v>
      </c>
      <c r="E194" s="147">
        <v>0</v>
      </c>
      <c r="F194" s="148">
        <v>0</v>
      </c>
      <c r="G194" s="246">
        <f t="shared" si="24"/>
        <v>99.833610648918466</v>
      </c>
      <c r="H194" s="226">
        <v>0</v>
      </c>
      <c r="I194" s="210">
        <f t="shared" si="23"/>
        <v>-1</v>
      </c>
    </row>
    <row r="195" spans="1:10" s="2" customFormat="1" ht="15" customHeight="1">
      <c r="A195" s="238" t="s">
        <v>43</v>
      </c>
      <c r="B195" s="135" t="s">
        <v>74</v>
      </c>
      <c r="C195" s="160">
        <v>9200</v>
      </c>
      <c r="D195" s="247">
        <v>0</v>
      </c>
      <c r="E195" s="147">
        <v>0</v>
      </c>
      <c r="F195" s="148">
        <v>0</v>
      </c>
      <c r="G195" s="246">
        <f t="shared" si="24"/>
        <v>0</v>
      </c>
      <c r="H195" s="226">
        <v>0</v>
      </c>
      <c r="I195" s="210">
        <v>0</v>
      </c>
    </row>
    <row r="196" spans="1:10" s="2" customFormat="1" ht="12.75" customHeight="1">
      <c r="A196" s="238" t="s">
        <v>43</v>
      </c>
      <c r="B196" s="135" t="s">
        <v>55</v>
      </c>
      <c r="C196" s="160">
        <v>10000</v>
      </c>
      <c r="D196" s="247">
        <v>4658.41</v>
      </c>
      <c r="E196" s="147">
        <v>8358.1</v>
      </c>
      <c r="F196" s="148">
        <v>3918.14</v>
      </c>
      <c r="G196" s="246">
        <f t="shared" si="24"/>
        <v>46.584099999999999</v>
      </c>
      <c r="H196" s="226">
        <f t="shared" si="25"/>
        <v>0.46878357521446257</v>
      </c>
      <c r="I196" s="210">
        <f t="shared" si="23"/>
        <v>-0.15891044369216101</v>
      </c>
    </row>
    <row r="197" spans="1:10" s="232" customFormat="1" ht="19.5" customHeight="1" thickBot="1">
      <c r="A197" s="104"/>
      <c r="B197" s="105" t="s">
        <v>14</v>
      </c>
      <c r="C197" s="100">
        <f>SUM(C186:C196)</f>
        <v>1250211.4099999999</v>
      </c>
      <c r="D197" s="100">
        <f>SUM(D186:D196)</f>
        <v>1187554.2</v>
      </c>
      <c r="E197" s="100">
        <f>SUM(E186:E196)</f>
        <v>1230002.9800000002</v>
      </c>
      <c r="F197" s="100">
        <f>SUM(F186:F196)</f>
        <v>1230047.78</v>
      </c>
      <c r="G197" s="103">
        <f>D197*100/C197</f>
        <v>94.988270823732137</v>
      </c>
      <c r="H197" s="99">
        <f>F197/E197</f>
        <v>1.0000364226759839</v>
      </c>
      <c r="I197" s="217">
        <f t="shared" si="23"/>
        <v>3.5782434182793477E-2</v>
      </c>
    </row>
    <row r="198" spans="1:10" ht="3" customHeight="1" thickTop="1">
      <c r="A198" s="43"/>
      <c r="B198" s="44"/>
      <c r="C198" s="189"/>
      <c r="D198" s="189"/>
      <c r="E198" s="45"/>
      <c r="F198" s="45"/>
      <c r="G198" s="46"/>
      <c r="H198" s="74"/>
      <c r="I198" s="74"/>
    </row>
    <row r="199" spans="1:10" ht="16.5" thickBot="1">
      <c r="A199" s="1">
        <v>14</v>
      </c>
      <c r="B199" s="72" t="s">
        <v>79</v>
      </c>
      <c r="C199" s="184"/>
      <c r="D199" s="184"/>
      <c r="E199" s="174"/>
      <c r="F199" s="174"/>
      <c r="G199" s="174"/>
      <c r="H199" s="74"/>
      <c r="I199" s="74"/>
    </row>
    <row r="200" spans="1:10" ht="32.25" thickTop="1">
      <c r="A200" s="158" t="s">
        <v>52</v>
      </c>
      <c r="B200" s="65" t="s">
        <v>39</v>
      </c>
      <c r="C200" s="66" t="s">
        <v>6</v>
      </c>
      <c r="D200" s="66" t="s">
        <v>7</v>
      </c>
      <c r="E200" s="66" t="s">
        <v>6</v>
      </c>
      <c r="F200" s="66" t="s">
        <v>7</v>
      </c>
      <c r="G200" s="76" t="s">
        <v>16</v>
      </c>
      <c r="H200" s="188" t="s">
        <v>16</v>
      </c>
      <c r="I200" s="159" t="s">
        <v>9</v>
      </c>
      <c r="J200" s="35"/>
    </row>
    <row r="201" spans="1:10" s="2" customFormat="1" ht="15">
      <c r="A201" s="238" t="s">
        <v>40</v>
      </c>
      <c r="B201" s="133" t="s">
        <v>53</v>
      </c>
      <c r="C201" s="147">
        <v>56275.43</v>
      </c>
      <c r="D201" s="245">
        <v>56275.43</v>
      </c>
      <c r="E201" s="147">
        <v>56399.71</v>
      </c>
      <c r="F201" s="148">
        <v>56399.71</v>
      </c>
      <c r="G201" s="246">
        <f t="shared" ref="G201:G211" si="26">D201*100/C201</f>
        <v>100</v>
      </c>
      <c r="H201" s="226">
        <f t="shared" ref="H201:H210" si="27">F201/E201</f>
        <v>1</v>
      </c>
      <c r="I201" s="210">
        <f t="shared" ref="I201:I211" si="28">F201/D201-100%</f>
        <v>2.2084238183519567E-3</v>
      </c>
    </row>
    <row r="202" spans="1:10" s="2" customFormat="1" ht="15">
      <c r="A202" s="238" t="s">
        <v>40</v>
      </c>
      <c r="B202" s="133" t="s">
        <v>54</v>
      </c>
      <c r="C202" s="147">
        <v>12000</v>
      </c>
      <c r="D202" s="245">
        <v>7944.45</v>
      </c>
      <c r="E202" s="147">
        <v>9100</v>
      </c>
      <c r="F202" s="148">
        <v>6546.4</v>
      </c>
      <c r="G202" s="246">
        <f t="shared" si="26"/>
        <v>66.203749999999999</v>
      </c>
      <c r="H202" s="226">
        <f t="shared" si="27"/>
        <v>0.71938461538461529</v>
      </c>
      <c r="I202" s="210">
        <f t="shared" si="28"/>
        <v>-0.17597819861664432</v>
      </c>
    </row>
    <row r="203" spans="1:10" s="2" customFormat="1" ht="15">
      <c r="A203" s="238" t="s">
        <v>40</v>
      </c>
      <c r="B203" s="133" t="s">
        <v>55</v>
      </c>
      <c r="C203" s="147">
        <v>4000</v>
      </c>
      <c r="D203" s="245">
        <v>3400</v>
      </c>
      <c r="E203" s="147">
        <v>3600</v>
      </c>
      <c r="F203" s="148">
        <v>3599.39</v>
      </c>
      <c r="G203" s="246">
        <f t="shared" si="26"/>
        <v>85</v>
      </c>
      <c r="H203" s="226">
        <f t="shared" si="27"/>
        <v>0.99983055555555556</v>
      </c>
      <c r="I203" s="210">
        <f t="shared" si="28"/>
        <v>5.864411764705868E-2</v>
      </c>
    </row>
    <row r="204" spans="1:10" s="2" customFormat="1" ht="15">
      <c r="A204" s="238" t="s">
        <v>40</v>
      </c>
      <c r="B204" s="133" t="s">
        <v>80</v>
      </c>
      <c r="C204" s="147">
        <v>183963</v>
      </c>
      <c r="D204" s="245">
        <v>124829.62</v>
      </c>
      <c r="E204" s="147">
        <v>121014.47</v>
      </c>
      <c r="F204" s="148">
        <v>108461.89</v>
      </c>
      <c r="G204" s="246">
        <f t="shared" si="26"/>
        <v>67.855829704886304</v>
      </c>
      <c r="H204" s="226">
        <f t="shared" si="27"/>
        <v>0.89627207390983898</v>
      </c>
      <c r="I204" s="210">
        <f t="shared" si="28"/>
        <v>-0.13112056257160754</v>
      </c>
    </row>
    <row r="205" spans="1:10" s="2" customFormat="1" ht="15">
      <c r="A205" s="238" t="s">
        <v>47</v>
      </c>
      <c r="B205" s="133" t="s">
        <v>63</v>
      </c>
      <c r="C205" s="147">
        <v>10000</v>
      </c>
      <c r="D205" s="245">
        <v>9949.08</v>
      </c>
      <c r="E205" s="147">
        <v>0</v>
      </c>
      <c r="F205" s="148">
        <v>0</v>
      </c>
      <c r="G205" s="246">
        <f t="shared" si="26"/>
        <v>99.490799999999993</v>
      </c>
      <c r="H205" s="226">
        <v>0</v>
      </c>
      <c r="I205" s="210">
        <f t="shared" si="28"/>
        <v>-1</v>
      </c>
    </row>
    <row r="206" spans="1:10" s="2" customFormat="1" ht="15">
      <c r="A206" s="238" t="s">
        <v>47</v>
      </c>
      <c r="B206" s="133" t="s">
        <v>56</v>
      </c>
      <c r="C206" s="147">
        <v>8380</v>
      </c>
      <c r="D206" s="245">
        <v>8300</v>
      </c>
      <c r="E206" s="147">
        <v>0</v>
      </c>
      <c r="F206" s="148">
        <v>0</v>
      </c>
      <c r="G206" s="246">
        <f t="shared" si="26"/>
        <v>99.045346062052502</v>
      </c>
      <c r="H206" s="226">
        <v>0</v>
      </c>
      <c r="I206" s="210">
        <f t="shared" si="28"/>
        <v>-1</v>
      </c>
    </row>
    <row r="207" spans="1:10" s="2" customFormat="1" ht="15">
      <c r="A207" s="238" t="s">
        <v>41</v>
      </c>
      <c r="B207" s="133" t="s">
        <v>80</v>
      </c>
      <c r="C207" s="147">
        <v>27670</v>
      </c>
      <c r="D207" s="245">
        <v>16425.900000000001</v>
      </c>
      <c r="E207" s="147">
        <v>175407.62</v>
      </c>
      <c r="F207" s="148">
        <v>76536.89</v>
      </c>
      <c r="G207" s="246">
        <f t="shared" si="26"/>
        <v>59.363570654138066</v>
      </c>
      <c r="H207" s="226">
        <f t="shared" si="27"/>
        <v>0.43633731533441933</v>
      </c>
      <c r="I207" s="210">
        <f t="shared" si="28"/>
        <v>3.6595248966571079</v>
      </c>
    </row>
    <row r="208" spans="1:10" s="2" customFormat="1" ht="15">
      <c r="A208" s="238" t="s">
        <v>47</v>
      </c>
      <c r="B208" s="133" t="s">
        <v>80</v>
      </c>
      <c r="C208" s="147">
        <v>4020</v>
      </c>
      <c r="D208" s="245">
        <v>4020</v>
      </c>
      <c r="E208" s="147">
        <v>65831.05</v>
      </c>
      <c r="F208" s="148">
        <v>20909.400000000001</v>
      </c>
      <c r="G208" s="246">
        <f t="shared" si="26"/>
        <v>100</v>
      </c>
      <c r="H208" s="226">
        <f t="shared" si="27"/>
        <v>0.31762215550260858</v>
      </c>
      <c r="I208" s="210">
        <f t="shared" si="28"/>
        <v>4.2013432835820899</v>
      </c>
    </row>
    <row r="209" spans="1:9" s="2" customFormat="1" ht="15">
      <c r="A209" s="238" t="s">
        <v>43</v>
      </c>
      <c r="B209" s="133" t="s">
        <v>56</v>
      </c>
      <c r="C209" s="248">
        <v>20000</v>
      </c>
      <c r="D209" s="245">
        <v>19800</v>
      </c>
      <c r="E209" s="147">
        <v>50000</v>
      </c>
      <c r="F209" s="148">
        <v>44500</v>
      </c>
      <c r="G209" s="246">
        <f t="shared" si="26"/>
        <v>99</v>
      </c>
      <c r="H209" s="226">
        <f t="shared" si="27"/>
        <v>0.89</v>
      </c>
      <c r="I209" s="210">
        <f t="shared" si="28"/>
        <v>1.2474747474747474</v>
      </c>
    </row>
    <row r="210" spans="1:9" s="2" customFormat="1" ht="15">
      <c r="A210" s="240" t="s">
        <v>81</v>
      </c>
      <c r="B210" s="133" t="s">
        <v>82</v>
      </c>
      <c r="C210" s="262">
        <v>2.35</v>
      </c>
      <c r="D210" s="147">
        <v>0</v>
      </c>
      <c r="E210" s="147">
        <f>C210-D210</f>
        <v>2.35</v>
      </c>
      <c r="F210" s="148"/>
      <c r="G210" s="246">
        <f t="shared" si="26"/>
        <v>0</v>
      </c>
      <c r="H210" s="226">
        <f t="shared" si="27"/>
        <v>0</v>
      </c>
      <c r="I210" s="210">
        <v>0</v>
      </c>
    </row>
    <row r="211" spans="1:9" s="232" customFormat="1" ht="20.25" customHeight="1" thickBot="1">
      <c r="A211" s="104"/>
      <c r="B211" s="105" t="s">
        <v>14</v>
      </c>
      <c r="C211" s="100">
        <f>SUM(C201:C210)</f>
        <v>326310.77999999997</v>
      </c>
      <c r="D211" s="100">
        <f>SUM(D201:D210)</f>
        <v>250944.47999999998</v>
      </c>
      <c r="E211" s="100">
        <f>SUM(E201:E210)</f>
        <v>481355.19999999995</v>
      </c>
      <c r="F211" s="100">
        <f>SUM(F201:F210)</f>
        <v>316953.68000000005</v>
      </c>
      <c r="G211" s="103">
        <f t="shared" si="26"/>
        <v>76.903521238250235</v>
      </c>
      <c r="H211" s="99">
        <f>F211/E211</f>
        <v>0.6584611114619725</v>
      </c>
      <c r="I211" s="217">
        <f t="shared" si="28"/>
        <v>0.26304304442161897</v>
      </c>
    </row>
    <row r="212" spans="1:9" ht="14.25" customHeight="1" thickTop="1">
      <c r="A212" s="60"/>
      <c r="B212" s="61"/>
      <c r="C212" s="62"/>
      <c r="D212" s="62"/>
      <c r="E212" s="62"/>
      <c r="F212" s="190"/>
      <c r="G212" s="63"/>
      <c r="H212" s="74"/>
      <c r="I212" s="74"/>
    </row>
    <row r="213" spans="1:9" s="224" customFormat="1" ht="21" customHeight="1" thickBot="1">
      <c r="A213" s="275">
        <v>15</v>
      </c>
      <c r="B213" s="276" t="s">
        <v>83</v>
      </c>
      <c r="C213" s="277"/>
      <c r="D213" s="277"/>
      <c r="E213" s="277"/>
      <c r="F213" s="278"/>
      <c r="G213" s="279"/>
      <c r="H213" s="232"/>
      <c r="I213" s="232"/>
    </row>
    <row r="214" spans="1:9" ht="30.75" customHeight="1" thickTop="1">
      <c r="A214" s="158" t="s">
        <v>52</v>
      </c>
      <c r="B214" s="65" t="s">
        <v>39</v>
      </c>
      <c r="C214" s="66" t="s">
        <v>6</v>
      </c>
      <c r="D214" s="66" t="s">
        <v>7</v>
      </c>
      <c r="E214" s="66" t="s">
        <v>6</v>
      </c>
      <c r="F214" s="66" t="s">
        <v>7</v>
      </c>
      <c r="G214" s="76" t="s">
        <v>16</v>
      </c>
      <c r="H214" s="188" t="s">
        <v>16</v>
      </c>
      <c r="I214" s="159" t="s">
        <v>9</v>
      </c>
    </row>
    <row r="215" spans="1:9" s="2" customFormat="1" ht="20.25" customHeight="1">
      <c r="A215" s="238" t="s">
        <v>40</v>
      </c>
      <c r="B215" s="133" t="s">
        <v>53</v>
      </c>
      <c r="C215" s="147">
        <v>50128.959999999999</v>
      </c>
      <c r="D215" s="245">
        <v>50128.959999999999</v>
      </c>
      <c r="E215" s="147">
        <v>47484.18</v>
      </c>
      <c r="F215" s="148">
        <v>47484.18</v>
      </c>
      <c r="G215" s="246">
        <f>D215*100/C215</f>
        <v>100</v>
      </c>
      <c r="H215" s="226">
        <f>F215/E215</f>
        <v>1</v>
      </c>
      <c r="I215" s="210">
        <f t="shared" ref="I215:I220" si="29">F215/D215-100%</f>
        <v>-5.2759522639208911E-2</v>
      </c>
    </row>
    <row r="216" spans="1:9" s="2" customFormat="1" ht="20.25" customHeight="1">
      <c r="A216" s="238" t="s">
        <v>40</v>
      </c>
      <c r="B216" s="133" t="s">
        <v>54</v>
      </c>
      <c r="C216" s="147">
        <v>12750</v>
      </c>
      <c r="D216" s="245">
        <v>6288.91</v>
      </c>
      <c r="E216" s="147">
        <v>9000</v>
      </c>
      <c r="F216" s="148">
        <v>3840.24</v>
      </c>
      <c r="G216" s="246">
        <f>D216*100/C216</f>
        <v>49.324784313725488</v>
      </c>
      <c r="H216" s="226">
        <f>F216/E216</f>
        <v>0.42669333333333331</v>
      </c>
      <c r="I216" s="210">
        <f t="shared" si="29"/>
        <v>-0.38936318058296271</v>
      </c>
    </row>
    <row r="217" spans="1:9" s="2" customFormat="1" ht="20.25" customHeight="1">
      <c r="A217" s="238" t="s">
        <v>40</v>
      </c>
      <c r="B217" s="133" t="s">
        <v>55</v>
      </c>
      <c r="C217" s="147">
        <v>3234</v>
      </c>
      <c r="D217" s="245">
        <v>1539.51</v>
      </c>
      <c r="E217" s="147">
        <v>2700</v>
      </c>
      <c r="F217" s="148">
        <v>1541.95</v>
      </c>
      <c r="G217" s="246">
        <f>D217*100/C217</f>
        <v>47.603896103896105</v>
      </c>
      <c r="H217" s="226">
        <f>F217/E217</f>
        <v>0.5710925925925926</v>
      </c>
      <c r="I217" s="210">
        <f t="shared" si="29"/>
        <v>1.584919877103852E-3</v>
      </c>
    </row>
    <row r="218" spans="1:9" s="2" customFormat="1" ht="20.25" customHeight="1">
      <c r="A218" s="240" t="s">
        <v>47</v>
      </c>
      <c r="B218" s="135" t="s">
        <v>56</v>
      </c>
      <c r="C218" s="160">
        <v>0</v>
      </c>
      <c r="D218" s="247">
        <v>0</v>
      </c>
      <c r="E218" s="160">
        <v>100.5</v>
      </c>
      <c r="F218" s="161">
        <v>0</v>
      </c>
      <c r="G218" s="246">
        <v>0</v>
      </c>
      <c r="H218" s="226"/>
      <c r="I218" s="210"/>
    </row>
    <row r="219" spans="1:9" s="2" customFormat="1" ht="20.25" customHeight="1">
      <c r="A219" s="240" t="s">
        <v>41</v>
      </c>
      <c r="B219" s="135" t="s">
        <v>56</v>
      </c>
      <c r="C219" s="160">
        <v>16000</v>
      </c>
      <c r="D219" s="247">
        <v>7500</v>
      </c>
      <c r="E219" s="160">
        <v>20000</v>
      </c>
      <c r="F219" s="161">
        <v>9250</v>
      </c>
      <c r="G219" s="263">
        <f>D219*100/C219</f>
        <v>46.875</v>
      </c>
      <c r="H219" s="226">
        <f>F219/E219</f>
        <v>0.46250000000000002</v>
      </c>
      <c r="I219" s="210">
        <f t="shared" si="29"/>
        <v>0.23333333333333339</v>
      </c>
    </row>
    <row r="220" spans="1:9" s="232" customFormat="1" ht="20.25" customHeight="1" thickBot="1">
      <c r="A220" s="104"/>
      <c r="B220" s="105" t="s">
        <v>14</v>
      </c>
      <c r="C220" s="100">
        <f>SUM(C214:C219)</f>
        <v>82112.959999999992</v>
      </c>
      <c r="D220" s="100">
        <f>SUM(D215:D219)</f>
        <v>65457.38</v>
      </c>
      <c r="E220" s="100">
        <f>SUM(E215:E219)</f>
        <v>79284.679999999993</v>
      </c>
      <c r="F220" s="100">
        <f>SUM(F215:F219)</f>
        <v>62116.369999999995</v>
      </c>
      <c r="G220" s="103">
        <f>D220*100/C220</f>
        <v>79.716259162987186</v>
      </c>
      <c r="H220" s="99">
        <f>F220/E220</f>
        <v>0.78345993198181541</v>
      </c>
      <c r="I220" s="217">
        <f t="shared" si="29"/>
        <v>-5.1040997974559965E-2</v>
      </c>
    </row>
    <row r="221" spans="1:9" s="224" customFormat="1" ht="16.5" customHeight="1" thickTop="1">
      <c r="A221" s="280"/>
      <c r="B221" s="281"/>
      <c r="C221" s="277"/>
      <c r="D221" s="277"/>
      <c r="E221" s="277"/>
      <c r="F221" s="278"/>
      <c r="G221" s="279"/>
      <c r="H221" s="232"/>
      <c r="I221" s="232"/>
    </row>
    <row r="222" spans="1:9" s="224" customFormat="1" ht="17.25" thickBot="1">
      <c r="A222" s="275">
        <v>16</v>
      </c>
      <c r="B222" s="276" t="s">
        <v>84</v>
      </c>
      <c r="C222" s="277"/>
      <c r="D222" s="277"/>
      <c r="E222" s="277"/>
      <c r="F222" s="278"/>
      <c r="G222" s="279"/>
      <c r="H222" s="232"/>
      <c r="I222" s="232"/>
    </row>
    <row r="223" spans="1:9" ht="33" customHeight="1" thickTop="1" thickBot="1">
      <c r="A223" s="191" t="s">
        <v>52</v>
      </c>
      <c r="B223" s="192" t="s">
        <v>39</v>
      </c>
      <c r="C223" s="193" t="s">
        <v>6</v>
      </c>
      <c r="D223" s="193" t="s">
        <v>7</v>
      </c>
      <c r="E223" s="193" t="s">
        <v>6</v>
      </c>
      <c r="F223" s="193" t="s">
        <v>7</v>
      </c>
      <c r="G223" s="194" t="s">
        <v>16</v>
      </c>
      <c r="H223" s="195" t="s">
        <v>16</v>
      </c>
      <c r="I223" s="196" t="s">
        <v>9</v>
      </c>
    </row>
    <row r="224" spans="1:9" s="2" customFormat="1" ht="15.75" thickTop="1">
      <c r="A224" s="282" t="s">
        <v>40</v>
      </c>
      <c r="B224" s="283" t="s">
        <v>53</v>
      </c>
      <c r="C224" s="284">
        <v>0</v>
      </c>
      <c r="D224" s="285">
        <v>0</v>
      </c>
      <c r="E224" s="284">
        <v>19839.63</v>
      </c>
      <c r="F224" s="286">
        <v>19839.63</v>
      </c>
      <c r="G224" s="287" t="e">
        <f>D224*100/C224</f>
        <v>#DIV/0!</v>
      </c>
      <c r="H224" s="288">
        <f>F224/E224</f>
        <v>1</v>
      </c>
      <c r="I224" s="289">
        <v>0</v>
      </c>
    </row>
    <row r="225" spans="1:11" s="2" customFormat="1" ht="15">
      <c r="A225" s="238" t="s">
        <v>40</v>
      </c>
      <c r="B225" s="133" t="s">
        <v>54</v>
      </c>
      <c r="C225" s="147">
        <v>0</v>
      </c>
      <c r="D225" s="245">
        <v>0</v>
      </c>
      <c r="E225" s="147">
        <v>47000</v>
      </c>
      <c r="F225" s="148">
        <v>24869.83</v>
      </c>
      <c r="G225" s="246" t="e">
        <f>D225*100/C225</f>
        <v>#DIV/0!</v>
      </c>
      <c r="H225" s="226">
        <f>F225/E225</f>
        <v>0.52914531914893626</v>
      </c>
      <c r="I225" s="210">
        <v>0</v>
      </c>
    </row>
    <row r="226" spans="1:11" s="2" customFormat="1" ht="15">
      <c r="A226" s="238" t="s">
        <v>40</v>
      </c>
      <c r="B226" s="133" t="s">
        <v>55</v>
      </c>
      <c r="C226" s="147">
        <v>0</v>
      </c>
      <c r="D226" s="245">
        <v>0</v>
      </c>
      <c r="E226" s="147">
        <v>7650</v>
      </c>
      <c r="F226" s="148">
        <v>0</v>
      </c>
      <c r="G226" s="246" t="e">
        <f>D226*100/C226</f>
        <v>#DIV/0!</v>
      </c>
      <c r="H226" s="226">
        <f>F226/E226</f>
        <v>0</v>
      </c>
      <c r="I226" s="210">
        <v>0</v>
      </c>
    </row>
    <row r="227" spans="1:11" s="2" customFormat="1" ht="15">
      <c r="A227" s="238" t="s">
        <v>40</v>
      </c>
      <c r="B227" s="135" t="s">
        <v>80</v>
      </c>
      <c r="C227" s="160">
        <v>0</v>
      </c>
      <c r="D227" s="247">
        <v>0</v>
      </c>
      <c r="E227" s="160">
        <v>5000</v>
      </c>
      <c r="F227" s="161">
        <v>0</v>
      </c>
      <c r="G227" s="263" t="e">
        <f>D227*100/C227</f>
        <v>#DIV/0!</v>
      </c>
      <c r="H227" s="226">
        <f>F227/E227</f>
        <v>0</v>
      </c>
      <c r="I227" s="210">
        <v>0</v>
      </c>
    </row>
    <row r="228" spans="1:11" s="224" customFormat="1" ht="17.25" thickBot="1">
      <c r="A228" s="104"/>
      <c r="B228" s="105" t="s">
        <v>14</v>
      </c>
      <c r="C228" s="100">
        <f>SUM(C223:C227)</f>
        <v>0</v>
      </c>
      <c r="D228" s="100">
        <f>SUM(D224:D227)</f>
        <v>0</v>
      </c>
      <c r="E228" s="100">
        <f>SUM(E224:E227)</f>
        <v>79489.63</v>
      </c>
      <c r="F228" s="100">
        <f>SUM(F224:F227)</f>
        <v>44709.460000000006</v>
      </c>
      <c r="G228" s="103" t="e">
        <f>D228*100/C228</f>
        <v>#DIV/0!</v>
      </c>
      <c r="H228" s="99">
        <f>F228/E228</f>
        <v>0.56245651162296273</v>
      </c>
      <c r="I228" s="217">
        <v>0</v>
      </c>
    </row>
    <row r="229" spans="1:11" s="224" customFormat="1" ht="17.25" thickTop="1">
      <c r="A229" s="290"/>
      <c r="B229" s="291"/>
      <c r="C229" s="269"/>
      <c r="D229" s="269"/>
      <c r="E229" s="270"/>
      <c r="F229" s="270"/>
      <c r="G229" s="271"/>
      <c r="H229" s="232"/>
      <c r="I229" s="232"/>
    </row>
    <row r="230" spans="1:11" s="224" customFormat="1" ht="17.25" thickBot="1">
      <c r="A230" s="292">
        <v>17</v>
      </c>
      <c r="B230" s="273" t="s">
        <v>85</v>
      </c>
      <c r="C230" s="243"/>
      <c r="D230" s="243"/>
      <c r="E230" s="293"/>
      <c r="F230" s="293"/>
      <c r="G230" s="293"/>
      <c r="H230" s="232"/>
      <c r="I230" s="232"/>
    </row>
    <row r="231" spans="1:11" ht="32.25" thickTop="1">
      <c r="A231" s="64" t="s">
        <v>52</v>
      </c>
      <c r="B231" s="139" t="s">
        <v>39</v>
      </c>
      <c r="C231" s="197" t="s">
        <v>6</v>
      </c>
      <c r="D231" s="197" t="s">
        <v>7</v>
      </c>
      <c r="E231" s="197" t="s">
        <v>6</v>
      </c>
      <c r="F231" s="197" t="s">
        <v>7</v>
      </c>
      <c r="G231" s="198" t="s">
        <v>16</v>
      </c>
      <c r="H231" s="199" t="s">
        <v>16</v>
      </c>
      <c r="I231" s="131" t="s">
        <v>9</v>
      </c>
    </row>
    <row r="232" spans="1:11" s="2" customFormat="1" ht="15">
      <c r="A232" s="238" t="s">
        <v>40</v>
      </c>
      <c r="B232" s="133" t="s">
        <v>53</v>
      </c>
      <c r="C232" s="284">
        <f>23321.98+69746.99+3346653.38+896220.79</f>
        <v>4335943.1400000006</v>
      </c>
      <c r="D232" s="285">
        <f>23321.98+69746.99+3346653.38+896220.79</f>
        <v>4335943.1400000006</v>
      </c>
      <c r="E232" s="284">
        <f>30518.79+73261.83+3426326.59+893506.06</f>
        <v>4423613.2699999996</v>
      </c>
      <c r="F232" s="286">
        <f>30518.79+74308.33+3426326.59+921706.06</f>
        <v>4452859.7699999996</v>
      </c>
      <c r="G232" s="287">
        <f t="shared" ref="G232:G242" si="30">D232*100/C232</f>
        <v>100</v>
      </c>
      <c r="H232" s="288">
        <f t="shared" ref="H232:H241" si="31">F232/E232</f>
        <v>1.006611450462531</v>
      </c>
      <c r="I232" s="289">
        <f t="shared" ref="I232:I243" si="32">F232/D232-100%</f>
        <v>2.6964521033824962E-2</v>
      </c>
      <c r="J232" s="38"/>
      <c r="K232" s="38">
        <f>F232-E232</f>
        <v>29246.5</v>
      </c>
    </row>
    <row r="233" spans="1:11" s="2" customFormat="1" ht="26.25" customHeight="1">
      <c r="A233" s="238" t="s">
        <v>43</v>
      </c>
      <c r="B233" s="133" t="s">
        <v>53</v>
      </c>
      <c r="C233" s="147">
        <v>30116.52</v>
      </c>
      <c r="D233" s="245">
        <v>30116.52</v>
      </c>
      <c r="E233" s="147">
        <f>1000+10210</f>
        <v>11210</v>
      </c>
      <c r="F233" s="148">
        <v>850.5</v>
      </c>
      <c r="G233" s="246">
        <f t="shared" si="30"/>
        <v>100</v>
      </c>
      <c r="H233" s="226">
        <f t="shared" si="31"/>
        <v>7.5869759143621762E-2</v>
      </c>
      <c r="I233" s="210">
        <f t="shared" si="32"/>
        <v>-0.97175968538197643</v>
      </c>
    </row>
    <row r="234" spans="1:11" s="2" customFormat="1" ht="26.25" customHeight="1">
      <c r="A234" s="238" t="s">
        <v>40</v>
      </c>
      <c r="B234" s="133" t="s">
        <v>54</v>
      </c>
      <c r="C234" s="147">
        <f>9833.35+11998.89+201032.95+72000.01</f>
        <v>294865.2</v>
      </c>
      <c r="D234" s="245">
        <f>6821.91+6233.8+56565.88+35403.33</f>
        <v>105024.92</v>
      </c>
      <c r="E234" s="147">
        <f>6400+12600+188884+48000</f>
        <v>255884</v>
      </c>
      <c r="F234" s="148">
        <f>4488.81+6694.3+47462.9+17473.44</f>
        <v>76119.45</v>
      </c>
      <c r="G234" s="246">
        <f t="shared" si="30"/>
        <v>35.617943385655543</v>
      </c>
      <c r="H234" s="226">
        <f t="shared" si="31"/>
        <v>0.2974763955542355</v>
      </c>
      <c r="I234" s="210">
        <f t="shared" si="32"/>
        <v>-0.27522487044027266</v>
      </c>
      <c r="J234" s="38"/>
    </row>
    <row r="235" spans="1:11" s="2" customFormat="1" ht="15">
      <c r="A235" s="238" t="s">
        <v>43</v>
      </c>
      <c r="B235" s="133" t="s">
        <v>54</v>
      </c>
      <c r="C235" s="248">
        <f>14569+17900+6081.3</f>
        <v>38550.300000000003</v>
      </c>
      <c r="D235" s="245">
        <f>5751+11227</f>
        <v>16978</v>
      </c>
      <c r="E235" s="147">
        <f>15419.5+4912.5</f>
        <v>20332</v>
      </c>
      <c r="F235" s="148">
        <f>2072.01+458.56</f>
        <v>2530.5700000000002</v>
      </c>
      <c r="G235" s="246">
        <f t="shared" si="30"/>
        <v>44.041161806782306</v>
      </c>
      <c r="H235" s="226">
        <f t="shared" si="31"/>
        <v>0.12446242376549282</v>
      </c>
      <c r="I235" s="210">
        <f t="shared" si="32"/>
        <v>-0.85095005300977733</v>
      </c>
    </row>
    <row r="236" spans="1:11" s="2" customFormat="1" ht="15.75">
      <c r="A236" s="238" t="s">
        <v>44</v>
      </c>
      <c r="B236" s="133" t="s">
        <v>54</v>
      </c>
      <c r="C236" s="147">
        <f>14036.52+20000+6607.37+31295.5</f>
        <v>71939.390000000014</v>
      </c>
      <c r="D236" s="245">
        <f>14012.5+9389.99+5512.62+25353.05</f>
        <v>54268.159999999996</v>
      </c>
      <c r="E236" s="147">
        <f>24197.95+40510.65+16519.71</f>
        <v>81228.31</v>
      </c>
      <c r="F236" s="148">
        <f>10222.83+35847.53+10267.93</f>
        <v>56338.29</v>
      </c>
      <c r="G236" s="246">
        <f t="shared" si="30"/>
        <v>75.435946843585953</v>
      </c>
      <c r="H236" s="226">
        <f t="shared" si="31"/>
        <v>0.69357949217458792</v>
      </c>
      <c r="I236" s="210">
        <f t="shared" si="32"/>
        <v>3.8146308995919531E-2</v>
      </c>
      <c r="J236" s="294"/>
    </row>
    <row r="237" spans="1:11" s="2" customFormat="1" ht="15">
      <c r="A237" s="238" t="s">
        <v>40</v>
      </c>
      <c r="B237" s="133" t="s">
        <v>55</v>
      </c>
      <c r="C237" s="147">
        <f>11000+29661.59+18000.01</f>
        <v>58661.599999999991</v>
      </c>
      <c r="D237" s="245">
        <f>9041.94+21249.51+10893.7</f>
        <v>41185.149999999994</v>
      </c>
      <c r="E237" s="147">
        <f>10800+33300+18900</f>
        <v>63000</v>
      </c>
      <c r="F237" s="148">
        <f>6441.08+24622.29+11533.83</f>
        <v>42597.200000000004</v>
      </c>
      <c r="G237" s="246">
        <f t="shared" si="30"/>
        <v>70.20802364749683</v>
      </c>
      <c r="H237" s="226">
        <f t="shared" si="31"/>
        <v>0.67614603174603183</v>
      </c>
      <c r="I237" s="210">
        <f t="shared" si="32"/>
        <v>3.4285415981246015E-2</v>
      </c>
    </row>
    <row r="238" spans="1:11" s="2" customFormat="1" ht="15">
      <c r="A238" s="238" t="s">
        <v>43</v>
      </c>
      <c r="B238" s="135" t="s">
        <v>80</v>
      </c>
      <c r="C238" s="160">
        <v>8018</v>
      </c>
      <c r="D238" s="247">
        <v>0</v>
      </c>
      <c r="E238" s="147">
        <v>0</v>
      </c>
      <c r="F238" s="148">
        <v>0</v>
      </c>
      <c r="G238" s="246">
        <f t="shared" si="30"/>
        <v>0</v>
      </c>
      <c r="H238" s="226">
        <v>0</v>
      </c>
      <c r="I238" s="210">
        <v>0</v>
      </c>
    </row>
    <row r="239" spans="1:11" s="2" customFormat="1" ht="15">
      <c r="A239" s="240" t="s">
        <v>40</v>
      </c>
      <c r="B239" s="135" t="s">
        <v>80</v>
      </c>
      <c r="C239" s="160">
        <v>239659.42</v>
      </c>
      <c r="D239" s="247">
        <v>177639.42</v>
      </c>
      <c r="E239" s="160">
        <f>226037.03</f>
        <v>226037.03</v>
      </c>
      <c r="F239" s="161">
        <f>122268.9</f>
        <v>122268.9</v>
      </c>
      <c r="G239" s="263">
        <f t="shared" si="30"/>
        <v>74.12160974102332</v>
      </c>
      <c r="H239" s="226">
        <f t="shared" si="31"/>
        <v>0.54092420166731081</v>
      </c>
      <c r="I239" s="210">
        <f t="shared" si="32"/>
        <v>-0.31170176079160816</v>
      </c>
    </row>
    <row r="240" spans="1:11" s="2" customFormat="1" ht="15">
      <c r="A240" s="240" t="s">
        <v>47</v>
      </c>
      <c r="B240" s="135" t="s">
        <v>80</v>
      </c>
      <c r="C240" s="160"/>
      <c r="D240" s="247"/>
      <c r="E240" s="160">
        <v>139141.26999999999</v>
      </c>
      <c r="F240" s="161">
        <v>138883.79999999999</v>
      </c>
      <c r="G240" s="263">
        <v>0</v>
      </c>
      <c r="H240" s="226"/>
      <c r="I240" s="210"/>
    </row>
    <row r="241" spans="1:9" s="2" customFormat="1" ht="15">
      <c r="A241" s="240" t="s">
        <v>86</v>
      </c>
      <c r="B241" s="135" t="s">
        <v>54</v>
      </c>
      <c r="C241" s="160">
        <v>8000</v>
      </c>
      <c r="D241" s="247">
        <v>7929.5</v>
      </c>
      <c r="E241" s="160">
        <v>2</v>
      </c>
      <c r="F241" s="161">
        <v>0</v>
      </c>
      <c r="G241" s="263">
        <f t="shared" si="30"/>
        <v>99.118750000000006</v>
      </c>
      <c r="H241" s="226">
        <f t="shared" si="31"/>
        <v>0</v>
      </c>
      <c r="I241" s="210">
        <f t="shared" si="32"/>
        <v>-1</v>
      </c>
    </row>
    <row r="242" spans="1:9" s="224" customFormat="1" ht="17.25" thickBot="1">
      <c r="A242" s="97"/>
      <c r="B242" s="98" t="s">
        <v>14</v>
      </c>
      <c r="C242" s="100">
        <f>SUM(C232:C241)</f>
        <v>5085753.5699999994</v>
      </c>
      <c r="D242" s="100">
        <f>SUM(D232:D241)</f>
        <v>4769084.8100000005</v>
      </c>
      <c r="E242" s="100">
        <f>SUM(E232:E241)</f>
        <v>5220447.879999999</v>
      </c>
      <c r="F242" s="100">
        <f>SUM(F232:F241)</f>
        <v>4892448.4800000004</v>
      </c>
      <c r="G242" s="103">
        <f t="shared" si="30"/>
        <v>93.773415175521393</v>
      </c>
      <c r="H242" s="99">
        <f>F242/E242</f>
        <v>0.93717025674050047</v>
      </c>
      <c r="I242" s="217">
        <f t="shared" si="32"/>
        <v>2.5867367621839277E-2</v>
      </c>
    </row>
    <row r="243" spans="1:9" s="297" customFormat="1" ht="24" thickTop="1" thickBot="1">
      <c r="A243" s="295"/>
      <c r="B243" s="69" t="s">
        <v>87</v>
      </c>
      <c r="C243" s="70">
        <f>C91+C102+C110+C116+C122+C129+C144+C152+C162+C168+C174+C182+C197+C211+C242+C220</f>
        <v>11027724.07</v>
      </c>
      <c r="D243" s="70">
        <f>D91+D102+D110+D116+D122+D129+D144+D152+D162+D168+D174+D182+D197+D211+D242+D220</f>
        <v>9280717.7200000007</v>
      </c>
      <c r="E243" s="70">
        <f>E91+E102+E110+E116+E122+E129+E144+E152+E162+E168+E174+E182+E197+E211+E242+E220+E228</f>
        <v>10925783.089999998</v>
      </c>
      <c r="F243" s="200">
        <f>F91+F102+F110+F116+F122+F129+F144+F152+F162+F168+F174+F182+F197+F211+F242+F220+F228</f>
        <v>9024210.2200000007</v>
      </c>
      <c r="G243" s="200">
        <f>D243/C243*100</f>
        <v>84.158051662241135</v>
      </c>
      <c r="H243" s="296">
        <f>F243/E243</f>
        <v>0.82595546201713976</v>
      </c>
      <c r="I243" s="296">
        <f t="shared" si="32"/>
        <v>-2.7638756800804853E-2</v>
      </c>
    </row>
    <row r="244" spans="1:9" ht="13.5" thickTop="1"/>
    <row r="296" spans="1:7" ht="15.75">
      <c r="G296" s="1"/>
    </row>
    <row r="297" spans="1:7" ht="23.25" customHeight="1">
      <c r="G297" t="s">
        <v>88</v>
      </c>
    </row>
    <row r="298" spans="1:7" ht="15.75">
      <c r="A298" s="1"/>
      <c r="C298" s="3"/>
      <c r="D298" s="3"/>
      <c r="E298" s="3"/>
      <c r="F298" s="3"/>
      <c r="G298" s="3"/>
    </row>
    <row r="299" spans="1:7">
      <c r="A299" s="5"/>
      <c r="B299" s="5"/>
      <c r="C299" s="5"/>
      <c r="D299" s="5"/>
      <c r="E299" s="5"/>
    </row>
    <row r="300" spans="1:7">
      <c r="A300" s="5"/>
      <c r="B300" s="5"/>
      <c r="C300" s="5"/>
      <c r="D300" s="5"/>
      <c r="E300" s="5"/>
    </row>
    <row r="301" spans="1:7" ht="15.75" thickBot="1">
      <c r="A301" s="367"/>
      <c r="B301" s="368"/>
      <c r="C301" s="369"/>
      <c r="D301" s="5"/>
      <c r="E301" s="5"/>
    </row>
    <row r="302" spans="1:7" ht="15">
      <c r="A302" s="7"/>
      <c r="B302" s="8"/>
      <c r="C302" s="370"/>
      <c r="D302" s="9"/>
      <c r="E302" s="9"/>
    </row>
    <row r="303" spans="1:7" ht="14.25">
      <c r="A303" s="7"/>
      <c r="B303" s="10"/>
      <c r="C303" s="371"/>
      <c r="D303" s="11"/>
      <c r="E303" s="11"/>
    </row>
    <row r="304" spans="1:7" ht="15.75" thickBot="1">
      <c r="A304" s="7"/>
      <c r="B304" s="12"/>
      <c r="C304" s="372"/>
      <c r="D304" s="11"/>
      <c r="E304" s="13"/>
    </row>
    <row r="305" spans="1:5" ht="15">
      <c r="A305" s="14"/>
      <c r="B305" s="14"/>
      <c r="C305" s="15"/>
      <c r="D305" s="16"/>
      <c r="E305" s="16"/>
    </row>
    <row r="306" spans="1:5" ht="15">
      <c r="A306" s="17"/>
      <c r="B306" s="18"/>
      <c r="C306" s="19"/>
      <c r="D306" s="20"/>
      <c r="E306" s="21"/>
    </row>
    <row r="307" spans="1:5" ht="14.25">
      <c r="A307" s="22"/>
      <c r="B307" s="7"/>
      <c r="C307" s="23"/>
      <c r="D307" s="20"/>
      <c r="E307" s="21"/>
    </row>
    <row r="308" spans="1:5" ht="14.25">
      <c r="A308" s="22"/>
      <c r="B308" s="7"/>
      <c r="C308" s="23"/>
      <c r="D308" s="20"/>
      <c r="E308" s="21"/>
    </row>
    <row r="309" spans="1:5" ht="14.25">
      <c r="A309" s="22"/>
      <c r="B309" s="7"/>
      <c r="C309" s="23"/>
      <c r="D309" s="20"/>
      <c r="E309" s="21"/>
    </row>
    <row r="310" spans="1:5" ht="14.25">
      <c r="A310" s="22"/>
      <c r="B310" s="7"/>
      <c r="C310" s="23"/>
      <c r="D310" s="20"/>
      <c r="E310" s="21"/>
    </row>
    <row r="311" spans="1:5" ht="14.25">
      <c r="A311" s="22"/>
      <c r="B311" s="7"/>
      <c r="C311" s="23"/>
      <c r="D311" s="20"/>
      <c r="E311" s="21"/>
    </row>
    <row r="312" spans="1:5" ht="15">
      <c r="A312" s="17"/>
      <c r="B312" s="18"/>
      <c r="C312" s="19"/>
      <c r="D312" s="20"/>
      <c r="E312" s="21"/>
    </row>
    <row r="313" spans="1:5" ht="14.25">
      <c r="A313" s="22"/>
      <c r="B313" s="7"/>
      <c r="C313" s="23"/>
      <c r="D313" s="20"/>
      <c r="E313" s="21"/>
    </row>
    <row r="314" spans="1:5" ht="14.25">
      <c r="A314" s="22"/>
      <c r="B314" s="7"/>
      <c r="C314" s="23"/>
      <c r="D314" s="20"/>
      <c r="E314" s="21"/>
    </row>
    <row r="315" spans="1:5" ht="14.25">
      <c r="A315" s="22"/>
      <c r="B315" s="7"/>
      <c r="C315" s="23"/>
      <c r="D315" s="20"/>
      <c r="E315" s="21"/>
    </row>
    <row r="316" spans="1:5" ht="15">
      <c r="A316" s="17"/>
      <c r="B316" s="18"/>
      <c r="C316" s="23"/>
      <c r="D316" s="20"/>
      <c r="E316" s="21"/>
    </row>
    <row r="317" spans="1:5" ht="14.25">
      <c r="A317" s="22"/>
      <c r="B317" s="7"/>
      <c r="C317" s="23"/>
      <c r="D317" s="20"/>
      <c r="E317" s="21"/>
    </row>
    <row r="318" spans="1:5" ht="15">
      <c r="A318" s="17"/>
      <c r="B318" s="18"/>
      <c r="C318" s="19"/>
      <c r="D318" s="20"/>
      <c r="E318" s="21"/>
    </row>
    <row r="319" spans="1:5" ht="14.25">
      <c r="A319" s="22"/>
      <c r="B319" s="7"/>
      <c r="C319" s="23"/>
      <c r="D319" s="20"/>
      <c r="E319" s="21"/>
    </row>
    <row r="320" spans="1:5" ht="14.25">
      <c r="A320" s="22"/>
      <c r="B320" s="7"/>
      <c r="C320" s="23"/>
      <c r="D320" s="20"/>
      <c r="E320" s="21"/>
    </row>
    <row r="321" spans="1:5" ht="14.25">
      <c r="A321" s="22"/>
      <c r="B321" s="7"/>
      <c r="C321" s="23"/>
      <c r="D321" s="20"/>
      <c r="E321" s="21"/>
    </row>
    <row r="322" spans="1:5" ht="27.75" customHeight="1">
      <c r="A322" s="22"/>
      <c r="B322" s="24"/>
      <c r="C322" s="23"/>
      <c r="D322" s="20"/>
      <c r="E322" s="21"/>
    </row>
    <row r="323" spans="1:5" ht="19.5" customHeight="1">
      <c r="A323" s="22"/>
      <c r="B323" s="24"/>
      <c r="C323" s="19"/>
      <c r="D323" s="20"/>
      <c r="E323" s="21"/>
    </row>
    <row r="324" spans="1:5" ht="15">
      <c r="A324" s="17"/>
      <c r="B324" s="18"/>
      <c r="C324" s="19"/>
      <c r="D324" s="20"/>
      <c r="E324" s="21"/>
    </row>
    <row r="325" spans="1:5" ht="14.25">
      <c r="A325" s="22"/>
      <c r="B325" s="7"/>
      <c r="C325" s="23"/>
      <c r="D325" s="20"/>
      <c r="E325" s="21"/>
    </row>
    <row r="326" spans="1:5" ht="14.25">
      <c r="A326" s="22"/>
      <c r="B326" s="7"/>
      <c r="C326" s="23"/>
      <c r="D326" s="20"/>
      <c r="E326" s="21"/>
    </row>
    <row r="327" spans="1:5" ht="15">
      <c r="A327" s="17"/>
      <c r="B327" s="18"/>
      <c r="C327" s="19"/>
      <c r="D327" s="20"/>
      <c r="E327" s="21"/>
    </row>
    <row r="328" spans="1:5" ht="14.25">
      <c r="A328" s="22"/>
      <c r="B328" s="7"/>
      <c r="C328" s="23"/>
      <c r="D328" s="20"/>
      <c r="E328" s="21"/>
    </row>
    <row r="329" spans="1:5" ht="14.25">
      <c r="A329" s="22"/>
      <c r="B329" s="7"/>
      <c r="C329" s="23"/>
      <c r="D329" s="20"/>
      <c r="E329" s="21"/>
    </row>
    <row r="330" spans="1:5" ht="14.25">
      <c r="A330" s="22"/>
      <c r="B330" s="7"/>
      <c r="C330" s="23"/>
      <c r="D330" s="20"/>
      <c r="E330" s="21"/>
    </row>
    <row r="331" spans="1:5" ht="15">
      <c r="A331" s="17"/>
      <c r="B331" s="18"/>
      <c r="C331" s="19"/>
      <c r="D331" s="20"/>
      <c r="E331" s="21"/>
    </row>
    <row r="332" spans="1:5" ht="16.5" customHeight="1">
      <c r="A332" s="22"/>
      <c r="B332" s="24"/>
      <c r="C332" s="23"/>
      <c r="D332" s="20"/>
      <c r="E332" s="21"/>
    </row>
    <row r="333" spans="1:5" ht="14.25">
      <c r="A333" s="22"/>
      <c r="B333" s="7"/>
      <c r="C333" s="23"/>
      <c r="D333" s="20"/>
      <c r="E333" s="21"/>
    </row>
    <row r="334" spans="1:5" ht="14.25">
      <c r="A334" s="22"/>
      <c r="B334" s="7"/>
      <c r="C334" s="23"/>
      <c r="D334" s="20"/>
      <c r="E334" s="21"/>
    </row>
    <row r="335" spans="1:5" ht="14.25">
      <c r="A335" s="22"/>
      <c r="B335" s="7"/>
      <c r="C335" s="23"/>
      <c r="D335" s="20"/>
      <c r="E335" s="21"/>
    </row>
    <row r="336" spans="1:5" ht="15">
      <c r="A336" s="17"/>
      <c r="B336" s="18"/>
      <c r="C336" s="19"/>
      <c r="D336" s="20"/>
      <c r="E336" s="21"/>
    </row>
    <row r="337" spans="1:5" ht="14.25">
      <c r="A337" s="22"/>
      <c r="B337" s="7"/>
      <c r="C337" s="23"/>
      <c r="D337" s="20"/>
      <c r="E337" s="21"/>
    </row>
    <row r="338" spans="1:5" ht="14.25">
      <c r="A338" s="22"/>
      <c r="B338" s="7"/>
      <c r="C338" s="23"/>
      <c r="D338" s="20"/>
      <c r="E338" s="21"/>
    </row>
    <row r="339" spans="1:5" ht="14.25">
      <c r="A339" s="22"/>
      <c r="B339" s="7"/>
      <c r="C339" s="23"/>
      <c r="D339" s="20"/>
      <c r="E339" s="21"/>
    </row>
    <row r="340" spans="1:5" ht="14.25">
      <c r="A340" s="7"/>
      <c r="B340" s="7"/>
      <c r="C340" s="23"/>
      <c r="D340" s="20"/>
      <c r="E340" s="21"/>
    </row>
    <row r="341" spans="1:5" ht="14.25">
      <c r="A341" s="7"/>
      <c r="B341" s="7"/>
      <c r="C341" s="23"/>
      <c r="D341" s="20"/>
      <c r="E341" s="21"/>
    </row>
    <row r="342" spans="1:5" ht="15">
      <c r="A342" s="17"/>
      <c r="B342" s="18"/>
      <c r="C342" s="19"/>
      <c r="D342" s="20"/>
      <c r="E342" s="21"/>
    </row>
    <row r="343" spans="1:5" ht="14.25">
      <c r="A343" s="22"/>
      <c r="B343" s="7"/>
      <c r="C343" s="23"/>
      <c r="D343" s="20"/>
      <c r="E343" s="21"/>
    </row>
    <row r="344" spans="1:5" ht="14.25">
      <c r="A344" s="22"/>
      <c r="B344" s="7"/>
      <c r="C344" s="23"/>
      <c r="D344" s="20"/>
      <c r="E344" s="21"/>
    </row>
    <row r="345" spans="1:5" ht="14.25">
      <c r="A345" s="22"/>
      <c r="B345" s="7"/>
      <c r="C345" s="23"/>
      <c r="D345" s="20"/>
      <c r="E345" s="21"/>
    </row>
    <row r="346" spans="1:5" ht="14.25">
      <c r="A346" s="22"/>
      <c r="B346" s="7"/>
      <c r="C346" s="23"/>
      <c r="D346" s="20"/>
      <c r="E346" s="21"/>
    </row>
    <row r="347" spans="1:5" ht="14.25">
      <c r="A347" s="22"/>
      <c r="B347" s="7"/>
      <c r="C347" s="23"/>
      <c r="D347" s="20"/>
      <c r="E347" s="21"/>
    </row>
    <row r="348" spans="1:5" ht="15">
      <c r="A348" s="17"/>
      <c r="B348" s="18"/>
      <c r="C348" s="19"/>
      <c r="D348" s="20"/>
      <c r="E348" s="21"/>
    </row>
    <row r="349" spans="1:5" ht="14.25">
      <c r="A349" s="22"/>
      <c r="B349" s="7"/>
      <c r="C349" s="23"/>
      <c r="D349" s="20"/>
      <c r="E349" s="21"/>
    </row>
    <row r="350" spans="1:5" ht="15">
      <c r="A350" s="17"/>
      <c r="B350" s="18"/>
      <c r="C350" s="19"/>
      <c r="D350" s="20"/>
      <c r="E350" s="21"/>
    </row>
    <row r="351" spans="1:5" ht="14.25">
      <c r="A351" s="22"/>
      <c r="B351" s="7"/>
      <c r="C351" s="23"/>
      <c r="D351" s="20"/>
      <c r="E351" s="21"/>
    </row>
    <row r="352" spans="1:5" ht="14.25">
      <c r="A352" s="22"/>
      <c r="B352" s="7"/>
      <c r="C352" s="23"/>
      <c r="D352" s="20"/>
      <c r="E352" s="21"/>
    </row>
    <row r="353" spans="1:5" ht="14.25">
      <c r="A353" s="22"/>
      <c r="B353" s="7"/>
      <c r="C353" s="23"/>
      <c r="D353" s="20"/>
      <c r="E353" s="21"/>
    </row>
    <row r="354" spans="1:5" ht="14.25">
      <c r="A354" s="22"/>
      <c r="B354" s="7"/>
      <c r="C354" s="23"/>
      <c r="D354" s="20"/>
      <c r="E354" s="21"/>
    </row>
    <row r="355" spans="1:5" ht="14.25">
      <c r="A355" s="22"/>
      <c r="B355" s="7"/>
      <c r="C355" s="23"/>
      <c r="D355" s="20"/>
      <c r="E355" s="21"/>
    </row>
    <row r="356" spans="1:5" ht="15">
      <c r="A356" s="14"/>
      <c r="B356" s="14"/>
      <c r="C356" s="19"/>
      <c r="D356" s="20"/>
      <c r="E356" s="21"/>
    </row>
    <row r="357" spans="1:5" ht="14.25">
      <c r="A357" s="22"/>
      <c r="B357" s="7"/>
      <c r="C357" s="23"/>
      <c r="D357" s="20"/>
      <c r="E357" s="21"/>
    </row>
    <row r="358" spans="1:5" ht="15">
      <c r="A358" s="14"/>
      <c r="B358" s="14"/>
      <c r="C358" s="23"/>
      <c r="D358" s="20"/>
      <c r="E358" s="21"/>
    </row>
    <row r="359" spans="1:5" ht="14.25">
      <c r="A359" s="22"/>
      <c r="B359" s="7"/>
      <c r="C359" s="23"/>
      <c r="D359" s="20"/>
      <c r="E359" s="21"/>
    </row>
    <row r="360" spans="1:5" ht="14.25">
      <c r="A360" s="22"/>
      <c r="B360" s="7"/>
      <c r="C360" s="23"/>
      <c r="D360" s="20"/>
      <c r="E360" s="21"/>
    </row>
    <row r="361" spans="1:5" ht="14.25">
      <c r="A361" s="22"/>
      <c r="B361" s="7"/>
      <c r="C361" s="23"/>
      <c r="D361" s="20"/>
      <c r="E361" s="21"/>
    </row>
    <row r="362" spans="1:5" ht="14.25">
      <c r="A362" s="22"/>
      <c r="B362" s="7"/>
      <c r="C362" s="23"/>
      <c r="D362" s="20"/>
      <c r="E362" s="21"/>
    </row>
    <row r="363" spans="1:5" ht="15">
      <c r="A363" s="22"/>
      <c r="B363" s="14"/>
      <c r="C363" s="23"/>
      <c r="D363" s="20"/>
      <c r="E363" s="21"/>
    </row>
    <row r="364" spans="1:5" ht="15">
      <c r="A364" s="25"/>
      <c r="B364" s="14"/>
      <c r="C364" s="19"/>
      <c r="D364" s="20"/>
      <c r="E364" s="21"/>
    </row>
    <row r="365" spans="1:5" ht="15">
      <c r="A365" s="17"/>
      <c r="B365" s="18"/>
      <c r="C365" s="23"/>
      <c r="D365" s="20"/>
      <c r="E365" s="21"/>
    </row>
    <row r="366" spans="1:5" ht="14.25">
      <c r="A366" s="7"/>
      <c r="B366" s="7"/>
      <c r="C366" s="23"/>
      <c r="D366" s="20"/>
      <c r="E366" s="21"/>
    </row>
    <row r="367" spans="1:5" ht="14.25">
      <c r="A367" s="7"/>
      <c r="B367" s="7"/>
      <c r="C367" s="23"/>
      <c r="D367" s="20"/>
      <c r="E367" s="21"/>
    </row>
    <row r="368" spans="1:5" ht="14.25">
      <c r="A368" s="7"/>
      <c r="B368" s="7"/>
      <c r="C368" s="23"/>
      <c r="D368" s="20"/>
      <c r="E368" s="21"/>
    </row>
    <row r="369" spans="1:5" ht="14.25">
      <c r="A369" s="7"/>
      <c r="B369" s="7"/>
      <c r="C369" s="23"/>
      <c r="D369" s="20"/>
      <c r="E369" s="21"/>
    </row>
    <row r="370" spans="1:5" ht="14.25">
      <c r="A370" s="7"/>
      <c r="B370" s="7"/>
      <c r="C370" s="23"/>
      <c r="D370" s="20"/>
      <c r="E370" s="21"/>
    </row>
    <row r="371" spans="1:5" ht="15">
      <c r="A371" s="18"/>
      <c r="B371" s="14"/>
      <c r="C371" s="19"/>
      <c r="D371" s="20"/>
      <c r="E371" s="21"/>
    </row>
    <row r="372" spans="1:5" ht="15">
      <c r="A372" s="17"/>
      <c r="B372" s="18"/>
      <c r="C372" s="19"/>
      <c r="D372" s="20"/>
      <c r="E372" s="21"/>
    </row>
    <row r="373" spans="1:5" ht="14.25">
      <c r="A373" s="7"/>
      <c r="B373" s="26"/>
      <c r="C373" s="23"/>
      <c r="D373" s="20"/>
      <c r="E373" s="21"/>
    </row>
    <row r="374" spans="1:5" ht="14.25">
      <c r="A374" s="7"/>
      <c r="B374" s="7"/>
      <c r="C374" s="23"/>
      <c r="D374" s="20"/>
      <c r="E374" s="21"/>
    </row>
    <row r="375" spans="1:5" ht="15">
      <c r="A375" s="17"/>
      <c r="B375" s="14"/>
      <c r="C375" s="19"/>
      <c r="D375" s="20"/>
      <c r="E375" s="21"/>
    </row>
    <row r="376" spans="1:5" ht="15">
      <c r="A376" s="7"/>
      <c r="B376" s="6"/>
      <c r="C376" s="19"/>
      <c r="D376" s="20"/>
      <c r="E376" s="21"/>
    </row>
    <row r="377" spans="1:5" ht="14.25">
      <c r="A377" s="7"/>
      <c r="B377" s="7"/>
      <c r="C377" s="23"/>
      <c r="D377" s="16"/>
      <c r="E377" s="21"/>
    </row>
    <row r="378" spans="1:5" ht="15">
      <c r="A378" s="17"/>
      <c r="B378" s="18"/>
      <c r="C378" s="23"/>
      <c r="D378" s="16"/>
      <c r="E378" s="21"/>
    </row>
    <row r="379" spans="1:5" ht="14.25">
      <c r="A379" s="22"/>
      <c r="B379" s="7"/>
      <c r="C379" s="23"/>
      <c r="D379" s="16"/>
      <c r="E379" s="21"/>
    </row>
    <row r="380" spans="1:5" ht="14.25">
      <c r="A380" s="22"/>
      <c r="B380" s="7"/>
      <c r="C380" s="23"/>
      <c r="D380" s="16"/>
      <c r="E380" s="21"/>
    </row>
    <row r="381" spans="1:5" ht="14.25">
      <c r="A381" s="22"/>
      <c r="B381" s="7"/>
      <c r="C381" s="23"/>
      <c r="D381" s="16"/>
      <c r="E381" s="21"/>
    </row>
    <row r="382" spans="1:5" ht="14.25">
      <c r="A382" s="22"/>
      <c r="B382" s="7"/>
      <c r="C382" s="23"/>
      <c r="D382" s="16"/>
      <c r="E382" s="21"/>
    </row>
    <row r="383" spans="1:5" ht="15">
      <c r="A383" s="22"/>
      <c r="B383" s="14"/>
      <c r="C383" s="23"/>
      <c r="D383" s="16"/>
      <c r="E383" s="21"/>
    </row>
    <row r="384" spans="1:5" ht="15">
      <c r="A384" s="7"/>
      <c r="B384" s="18"/>
      <c r="C384" s="19"/>
      <c r="D384" s="20"/>
      <c r="E384" s="21"/>
    </row>
    <row r="385" spans="1:5" ht="14.25">
      <c r="A385" s="27"/>
      <c r="B385" s="27"/>
      <c r="C385" s="27"/>
      <c r="D385" s="20"/>
      <c r="E385" s="21"/>
    </row>
    <row r="386" spans="1:5" ht="15">
      <c r="A386" s="18"/>
      <c r="B386" s="18"/>
      <c r="C386" s="28"/>
      <c r="D386" s="20"/>
      <c r="E386" s="21"/>
    </row>
    <row r="387" spans="1:5" ht="15">
      <c r="A387" s="29"/>
      <c r="B387" s="30"/>
      <c r="C387" s="31"/>
      <c r="D387" s="5"/>
      <c r="E387" s="5"/>
    </row>
    <row r="388" spans="1:5" ht="15">
      <c r="A388" s="29"/>
      <c r="B388" s="32"/>
      <c r="C388" s="30"/>
      <c r="D388" s="5"/>
      <c r="E388" s="5"/>
    </row>
    <row r="389" spans="1:5" ht="15">
      <c r="A389" s="29"/>
      <c r="B389" s="32"/>
      <c r="C389" s="30"/>
      <c r="D389" s="5"/>
      <c r="E389" s="5"/>
    </row>
    <row r="390" spans="1:5" ht="14.25">
      <c r="A390" s="26"/>
      <c r="B390" s="33"/>
      <c r="C390" s="33"/>
      <c r="D390" s="5"/>
      <c r="E390" s="5"/>
    </row>
    <row r="391" spans="1:5">
      <c r="A391" s="5"/>
      <c r="B391" s="5"/>
      <c r="C391" s="5"/>
      <c r="D391" s="5"/>
      <c r="E391" s="5"/>
    </row>
    <row r="392" spans="1:5">
      <c r="A392" s="5"/>
      <c r="B392" s="5"/>
      <c r="C392" s="5"/>
      <c r="D392" s="5"/>
      <c r="E392" s="5"/>
    </row>
    <row r="393" spans="1:5">
      <c r="A393" s="5"/>
      <c r="B393" s="5"/>
      <c r="C393" s="5"/>
      <c r="D393" s="5"/>
      <c r="E393" s="5"/>
    </row>
    <row r="394" spans="1:5">
      <c r="A394" s="5"/>
      <c r="B394" s="5"/>
      <c r="C394" s="5"/>
      <c r="D394" s="5"/>
      <c r="E394" s="5"/>
    </row>
    <row r="395" spans="1:5">
      <c r="A395" s="5"/>
      <c r="B395" s="5"/>
      <c r="C395" s="5"/>
      <c r="D395" s="5"/>
      <c r="E395" s="5"/>
    </row>
    <row r="396" spans="1:5">
      <c r="A396" s="5"/>
      <c r="B396" s="5"/>
      <c r="C396" s="5"/>
      <c r="D396" s="5"/>
      <c r="E396" s="5"/>
    </row>
  </sheetData>
  <mergeCells count="8">
    <mergeCell ref="A1:I3"/>
    <mergeCell ref="A301:C301"/>
    <mergeCell ref="C302:C304"/>
    <mergeCell ref="A4:H4"/>
    <mergeCell ref="C7:D7"/>
    <mergeCell ref="E7:F7"/>
    <mergeCell ref="B57:E57"/>
    <mergeCell ref="B79:E79"/>
  </mergeCells>
  <phoneticPr fontId="0" type="noConversion"/>
  <pageMargins left="0.31" right="0.196850393700787" top="0.11" bottom="0.11" header="0.18" footer="0.18"/>
  <pageSetup paperSize="9" scale="51" orientation="landscape" horizontalDpi="300" verticalDpi="300" r:id="rId1"/>
  <headerFooter alignWithMargins="0"/>
  <rowBreaks count="4" manualBreakCount="4">
    <brk id="48" max="16383" man="1"/>
    <brk id="102" max="8" man="1"/>
    <brk id="153" max="16383" man="1"/>
    <brk id="21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1"/>
  <sheetViews>
    <sheetView view="pageBreakPreview" topLeftCell="A283" zoomScale="60" zoomScaleNormal="100" workbookViewId="0">
      <selection activeCell="B343" sqref="B343"/>
    </sheetView>
  </sheetViews>
  <sheetFormatPr defaultRowHeight="12.75"/>
  <cols>
    <col min="1" max="1" width="63.5703125" customWidth="1"/>
    <col min="2" max="2" width="46.28515625" customWidth="1"/>
  </cols>
  <sheetData>
    <row r="1" spans="1:2" ht="18">
      <c r="A1" s="384" t="s">
        <v>0</v>
      </c>
      <c r="B1" s="384"/>
    </row>
    <row r="2" spans="1:2">
      <c r="A2" s="385" t="s">
        <v>89</v>
      </c>
      <c r="B2" s="386"/>
    </row>
    <row r="3" spans="1:2" ht="18">
      <c r="A3" s="311" t="s">
        <v>90</v>
      </c>
      <c r="B3" s="314">
        <v>313312.43</v>
      </c>
    </row>
    <row r="4" spans="1:2" ht="15">
      <c r="A4" s="312" t="s">
        <v>91</v>
      </c>
      <c r="B4" s="310">
        <v>96270.6</v>
      </c>
    </row>
    <row r="5" spans="1:2" ht="15">
      <c r="A5" s="312" t="s">
        <v>92</v>
      </c>
      <c r="B5" s="310">
        <v>303.63</v>
      </c>
    </row>
    <row r="6" spans="1:2" ht="15">
      <c r="A6" s="312" t="s">
        <v>93</v>
      </c>
      <c r="B6" s="310">
        <v>6269.31</v>
      </c>
    </row>
    <row r="7" spans="1:2" ht="15">
      <c r="A7" s="312" t="s">
        <v>94</v>
      </c>
      <c r="B7" s="310">
        <v>5412.76</v>
      </c>
    </row>
    <row r="8" spans="1:2" ht="15">
      <c r="A8" s="312" t="s">
        <v>95</v>
      </c>
      <c r="B8" s="310">
        <v>5412.76</v>
      </c>
    </row>
    <row r="9" spans="1:2" ht="15">
      <c r="A9" s="312" t="s">
        <v>96</v>
      </c>
      <c r="B9" s="310">
        <v>0</v>
      </c>
    </row>
    <row r="10" spans="1:2" ht="15">
      <c r="A10" s="312" t="s">
        <v>97</v>
      </c>
      <c r="B10" s="310">
        <v>1010.57</v>
      </c>
    </row>
    <row r="11" spans="1:2" ht="15">
      <c r="A11" s="312" t="s">
        <v>98</v>
      </c>
      <c r="B11" s="310">
        <v>296.02</v>
      </c>
    </row>
    <row r="12" spans="1:2" ht="15">
      <c r="A12" s="312" t="s">
        <v>99</v>
      </c>
      <c r="B12" s="310">
        <v>14</v>
      </c>
    </row>
    <row r="13" spans="1:2" ht="15">
      <c r="A13" s="312" t="s">
        <v>100</v>
      </c>
      <c r="B13" s="310">
        <v>109.64</v>
      </c>
    </row>
    <row r="14" spans="1:2" ht="15">
      <c r="A14" s="312" t="s">
        <v>101</v>
      </c>
      <c r="B14" s="310">
        <v>169.59</v>
      </c>
    </row>
    <row r="15" spans="1:2" ht="15">
      <c r="A15" s="312" t="s">
        <v>102</v>
      </c>
      <c r="B15" s="310">
        <v>2815.68</v>
      </c>
    </row>
    <row r="16" spans="1:2" ht="15">
      <c r="A16" s="312" t="s">
        <v>103</v>
      </c>
      <c r="B16" s="310">
        <v>75</v>
      </c>
    </row>
    <row r="17" spans="1:2" ht="15">
      <c r="A17" s="312" t="s">
        <v>104</v>
      </c>
      <c r="B17" s="310">
        <v>95</v>
      </c>
    </row>
    <row r="18" spans="1:2" ht="15">
      <c r="A18" s="312" t="s">
        <v>105</v>
      </c>
      <c r="B18" s="310">
        <v>69</v>
      </c>
    </row>
    <row r="19" spans="1:2" ht="15">
      <c r="A19" s="312" t="s">
        <v>106</v>
      </c>
      <c r="B19" s="310">
        <v>3070.11</v>
      </c>
    </row>
    <row r="20" spans="1:2" ht="15">
      <c r="A20" s="312" t="s">
        <v>107</v>
      </c>
      <c r="B20" s="310">
        <v>170</v>
      </c>
    </row>
    <row r="21" spans="1:2" ht="15">
      <c r="A21" s="312" t="s">
        <v>108</v>
      </c>
      <c r="B21" s="310">
        <v>0</v>
      </c>
    </row>
    <row r="22" spans="1:2" ht="15">
      <c r="A22" s="312" t="s">
        <v>109</v>
      </c>
      <c r="B22" s="310">
        <v>0</v>
      </c>
    </row>
    <row r="23" spans="1:2" ht="15">
      <c r="A23" s="312" t="s">
        <v>110</v>
      </c>
      <c r="B23" s="310">
        <v>30</v>
      </c>
    </row>
    <row r="24" spans="1:2" ht="15">
      <c r="A24" s="312" t="s">
        <v>111</v>
      </c>
      <c r="B24" s="310">
        <v>386.46</v>
      </c>
    </row>
    <row r="25" spans="1:2" ht="15">
      <c r="A25" s="312" t="s">
        <v>112</v>
      </c>
      <c r="B25" s="310">
        <v>61.36</v>
      </c>
    </row>
    <row r="26" spans="1:2" ht="15">
      <c r="A26" s="312" t="s">
        <v>113</v>
      </c>
      <c r="B26" s="310">
        <v>2638.55</v>
      </c>
    </row>
    <row r="27" spans="1:2" ht="15">
      <c r="A27" s="312" t="s">
        <v>114</v>
      </c>
      <c r="B27" s="310">
        <v>4116.5</v>
      </c>
    </row>
    <row r="28" spans="1:2" ht="15">
      <c r="A28" s="312" t="s">
        <v>115</v>
      </c>
      <c r="B28" s="310">
        <v>1041.2</v>
      </c>
    </row>
    <row r="29" spans="1:2" ht="15">
      <c r="A29" s="312" t="s">
        <v>116</v>
      </c>
      <c r="B29" s="310">
        <v>1500</v>
      </c>
    </row>
    <row r="30" spans="1:2" ht="15">
      <c r="A30" s="312" t="s">
        <v>117</v>
      </c>
      <c r="B30" s="310">
        <v>39197</v>
      </c>
    </row>
    <row r="31" spans="1:2" ht="15">
      <c r="A31" s="312" t="s">
        <v>118</v>
      </c>
      <c r="B31" s="310">
        <v>93150</v>
      </c>
    </row>
    <row r="32" spans="1:2" ht="15">
      <c r="A32" s="312" t="s">
        <v>119</v>
      </c>
      <c r="B32" s="310">
        <v>49627.69</v>
      </c>
    </row>
    <row r="33" spans="1:2" ht="18">
      <c r="A33" s="313" t="s">
        <v>120</v>
      </c>
      <c r="B33" s="314">
        <v>278101.32</v>
      </c>
    </row>
    <row r="34" spans="1:2" ht="15">
      <c r="A34" s="312" t="s">
        <v>91</v>
      </c>
      <c r="B34" s="310">
        <v>119415.02</v>
      </c>
    </row>
    <row r="35" spans="1:2" ht="15">
      <c r="A35" s="312" t="s">
        <v>92</v>
      </c>
      <c r="B35" s="310">
        <v>557.87</v>
      </c>
    </row>
    <row r="36" spans="1:2" ht="15">
      <c r="A36" s="312" t="s">
        <v>93</v>
      </c>
      <c r="B36" s="310">
        <v>5904.73</v>
      </c>
    </row>
    <row r="37" spans="1:2" ht="15">
      <c r="A37" s="312" t="s">
        <v>94</v>
      </c>
      <c r="B37" s="310">
        <v>6625.21</v>
      </c>
    </row>
    <row r="38" spans="1:2" ht="15">
      <c r="A38" s="312" t="s">
        <v>95</v>
      </c>
      <c r="B38" s="310">
        <v>6625.21</v>
      </c>
    </row>
    <row r="39" spans="1:2" ht="15">
      <c r="A39" s="312" t="s">
        <v>96</v>
      </c>
      <c r="B39" s="310">
        <v>870</v>
      </c>
    </row>
    <row r="40" spans="1:2" ht="15">
      <c r="A40" s="312" t="s">
        <v>97</v>
      </c>
      <c r="B40" s="310">
        <v>2342</v>
      </c>
    </row>
    <row r="41" spans="1:2" ht="15">
      <c r="A41" s="312" t="s">
        <v>99</v>
      </c>
      <c r="B41" s="310">
        <v>120</v>
      </c>
    </row>
    <row r="42" spans="1:2" ht="15">
      <c r="A42" s="312" t="s">
        <v>121</v>
      </c>
      <c r="B42" s="310">
        <v>4227.2</v>
      </c>
    </row>
    <row r="43" spans="1:2" ht="15">
      <c r="A43" s="312" t="s">
        <v>122</v>
      </c>
      <c r="B43" s="310">
        <v>883.32</v>
      </c>
    </row>
    <row r="44" spans="1:2" ht="15">
      <c r="A44" s="312" t="s">
        <v>123</v>
      </c>
      <c r="B44" s="310">
        <v>1217.27</v>
      </c>
    </row>
    <row r="45" spans="1:2" ht="15">
      <c r="A45" s="312" t="s">
        <v>101</v>
      </c>
      <c r="B45" s="310">
        <v>8861.17</v>
      </c>
    </row>
    <row r="46" spans="1:2" ht="15">
      <c r="A46" s="312" t="s">
        <v>124</v>
      </c>
      <c r="B46" s="310">
        <v>1292</v>
      </c>
    </row>
    <row r="47" spans="1:2" ht="15">
      <c r="A47" s="312" t="s">
        <v>125</v>
      </c>
      <c r="B47" s="310">
        <v>3450</v>
      </c>
    </row>
    <row r="48" spans="1:2" ht="15">
      <c r="A48" s="312" t="s">
        <v>102</v>
      </c>
      <c r="B48" s="310">
        <v>8949.76</v>
      </c>
    </row>
    <row r="49" spans="1:2" ht="15">
      <c r="A49" s="312" t="s">
        <v>126</v>
      </c>
      <c r="B49" s="310">
        <v>55863</v>
      </c>
    </row>
    <row r="50" spans="1:2" ht="15">
      <c r="A50" s="312" t="s">
        <v>127</v>
      </c>
      <c r="B50" s="310">
        <v>100</v>
      </c>
    </row>
    <row r="51" spans="1:2" ht="15">
      <c r="A51" s="312" t="s">
        <v>104</v>
      </c>
      <c r="B51" s="310">
        <v>686.25</v>
      </c>
    </row>
    <row r="52" spans="1:2" ht="15">
      <c r="A52" s="312" t="s">
        <v>105</v>
      </c>
      <c r="B52" s="310">
        <v>904.47</v>
      </c>
    </row>
    <row r="53" spans="1:2" ht="15">
      <c r="A53" s="312" t="s">
        <v>106</v>
      </c>
      <c r="B53" s="310">
        <v>8629.32</v>
      </c>
    </row>
    <row r="54" spans="1:2" ht="15">
      <c r="A54" s="312" t="s">
        <v>107</v>
      </c>
      <c r="B54" s="310">
        <v>191</v>
      </c>
    </row>
    <row r="55" spans="1:2" ht="15">
      <c r="A55" s="312" t="s">
        <v>128</v>
      </c>
      <c r="B55" s="310">
        <v>1786</v>
      </c>
    </row>
    <row r="56" spans="1:2" ht="15">
      <c r="A56" s="312" t="s">
        <v>129</v>
      </c>
      <c r="B56" s="310">
        <v>9929.1200000000008</v>
      </c>
    </row>
    <row r="57" spans="1:2" ht="15">
      <c r="A57" s="312" t="s">
        <v>109</v>
      </c>
      <c r="B57" s="310">
        <v>0</v>
      </c>
    </row>
    <row r="58" spans="1:2" ht="15">
      <c r="A58" s="312" t="s">
        <v>130</v>
      </c>
      <c r="B58" s="310">
        <v>1985</v>
      </c>
    </row>
    <row r="59" spans="1:2" ht="15">
      <c r="A59" s="312" t="s">
        <v>131</v>
      </c>
      <c r="B59" s="310">
        <v>3287.21</v>
      </c>
    </row>
    <row r="60" spans="1:2" ht="15">
      <c r="A60" s="312" t="s">
        <v>110</v>
      </c>
      <c r="B60" s="310">
        <v>14912.09</v>
      </c>
    </row>
    <row r="61" spans="1:2" ht="15">
      <c r="A61" s="312" t="s">
        <v>111</v>
      </c>
      <c r="B61" s="310">
        <v>959.79</v>
      </c>
    </row>
    <row r="62" spans="1:2" ht="15">
      <c r="A62" s="312" t="s">
        <v>132</v>
      </c>
      <c r="B62" s="310">
        <v>1983.75</v>
      </c>
    </row>
    <row r="63" spans="1:2" ht="15">
      <c r="A63" s="312" t="s">
        <v>133</v>
      </c>
      <c r="B63" s="310">
        <v>985.55</v>
      </c>
    </row>
    <row r="64" spans="1:2" ht="15">
      <c r="A64" s="312" t="s">
        <v>113</v>
      </c>
      <c r="B64" s="310">
        <v>1140.75</v>
      </c>
    </row>
    <row r="65" spans="1:2" ht="15">
      <c r="A65" s="312" t="s">
        <v>134</v>
      </c>
      <c r="B65" s="310">
        <v>400</v>
      </c>
    </row>
    <row r="66" spans="1:2" ht="15">
      <c r="A66" s="312" t="s">
        <v>114</v>
      </c>
      <c r="B66" s="310">
        <v>2436</v>
      </c>
    </row>
    <row r="67" spans="1:2" ht="15">
      <c r="A67" s="312" t="s">
        <v>115</v>
      </c>
      <c r="B67" s="310">
        <v>581.26</v>
      </c>
    </row>
    <row r="68" spans="1:2" ht="18">
      <c r="A68" s="313" t="s">
        <v>135</v>
      </c>
      <c r="B68" s="314">
        <v>48320.25</v>
      </c>
    </row>
    <row r="69" spans="1:2" ht="15">
      <c r="A69" s="312" t="s">
        <v>91</v>
      </c>
      <c r="B69" s="310">
        <v>40834.480000000003</v>
      </c>
    </row>
    <row r="70" spans="1:2" ht="15">
      <c r="A70" s="312" t="s">
        <v>92</v>
      </c>
      <c r="B70" s="310">
        <v>175.56</v>
      </c>
    </row>
    <row r="71" spans="1:2" ht="15">
      <c r="A71" s="312" t="s">
        <v>93</v>
      </c>
      <c r="B71" s="310">
        <v>2085.2399999999998</v>
      </c>
    </row>
    <row r="72" spans="1:2" ht="15">
      <c r="A72" s="312" t="s">
        <v>94</v>
      </c>
      <c r="B72" s="310">
        <v>2268.1799999999998</v>
      </c>
    </row>
    <row r="73" spans="1:2" ht="15">
      <c r="A73" s="312" t="s">
        <v>95</v>
      </c>
      <c r="B73" s="310">
        <v>2268.1799999999998</v>
      </c>
    </row>
    <row r="74" spans="1:2" ht="15">
      <c r="A74" s="312" t="s">
        <v>106</v>
      </c>
      <c r="B74" s="310">
        <v>548.61</v>
      </c>
    </row>
    <row r="75" spans="1:2" ht="15">
      <c r="A75" s="312" t="s">
        <v>114</v>
      </c>
      <c r="B75" s="310">
        <v>140</v>
      </c>
    </row>
    <row r="76" spans="1:2" ht="15">
      <c r="A76" s="312" t="s">
        <v>136</v>
      </c>
      <c r="B76" s="310">
        <v>34467.93</v>
      </c>
    </row>
    <row r="77" spans="1:2" ht="15">
      <c r="A77" s="312" t="s">
        <v>91</v>
      </c>
      <c r="B77" s="310">
        <v>28154.82</v>
      </c>
    </row>
    <row r="78" spans="1:2" ht="15">
      <c r="A78" s="312" t="s">
        <v>92</v>
      </c>
      <c r="B78" s="310">
        <v>112.65</v>
      </c>
    </row>
    <row r="79" spans="1:2" ht="15">
      <c r="A79" s="312" t="s">
        <v>93</v>
      </c>
      <c r="B79" s="310">
        <v>1470.93</v>
      </c>
    </row>
    <row r="80" spans="1:2" ht="15">
      <c r="A80" s="312" t="s">
        <v>94</v>
      </c>
      <c r="B80" s="310">
        <v>1565.22</v>
      </c>
    </row>
    <row r="81" spans="1:2" ht="15">
      <c r="A81" s="312" t="s">
        <v>95</v>
      </c>
      <c r="B81" s="310">
        <v>1565.22</v>
      </c>
    </row>
    <row r="82" spans="1:2" ht="15">
      <c r="A82" s="312" t="s">
        <v>105</v>
      </c>
      <c r="B82" s="310">
        <v>20</v>
      </c>
    </row>
    <row r="83" spans="1:2" ht="15">
      <c r="A83" s="312" t="s">
        <v>106</v>
      </c>
      <c r="B83" s="310">
        <v>1399.09</v>
      </c>
    </row>
    <row r="84" spans="1:2" ht="15">
      <c r="A84" s="312" t="s">
        <v>114</v>
      </c>
      <c r="B84" s="310">
        <v>180</v>
      </c>
    </row>
    <row r="85" spans="1:2" ht="15">
      <c r="A85" s="312" t="s">
        <v>137</v>
      </c>
      <c r="B85" s="310">
        <v>79941</v>
      </c>
    </row>
    <row r="86" spans="1:2" ht="15">
      <c r="A86" s="312" t="s">
        <v>91</v>
      </c>
      <c r="B86" s="310">
        <v>67428.08</v>
      </c>
    </row>
    <row r="87" spans="1:2" ht="15">
      <c r="A87" s="312" t="s">
        <v>93</v>
      </c>
      <c r="B87" s="310">
        <v>3791.9</v>
      </c>
    </row>
    <row r="88" spans="1:2" ht="15">
      <c r="A88" s="312" t="s">
        <v>94</v>
      </c>
      <c r="B88" s="310">
        <v>3735.31</v>
      </c>
    </row>
    <row r="89" spans="1:2" ht="15">
      <c r="A89" s="312" t="s">
        <v>95</v>
      </c>
      <c r="B89" s="310">
        <v>3735.31</v>
      </c>
    </row>
    <row r="90" spans="1:2" ht="15">
      <c r="A90" s="312" t="s">
        <v>97</v>
      </c>
      <c r="B90" s="310">
        <v>1170.4000000000001</v>
      </c>
    </row>
    <row r="91" spans="1:2" ht="15">
      <c r="A91" s="312" t="s">
        <v>114</v>
      </c>
      <c r="B91" s="310">
        <v>80</v>
      </c>
    </row>
    <row r="92" spans="1:2" ht="18">
      <c r="A92" s="313" t="s">
        <v>138</v>
      </c>
      <c r="B92" s="314">
        <v>86857.03</v>
      </c>
    </row>
    <row r="93" spans="1:2" ht="15">
      <c r="A93" s="312" t="s">
        <v>91</v>
      </c>
      <c r="B93" s="310">
        <v>60036.9</v>
      </c>
    </row>
    <row r="94" spans="1:2" ht="15">
      <c r="A94" s="312" t="s">
        <v>92</v>
      </c>
      <c r="B94" s="310">
        <v>241.82</v>
      </c>
    </row>
    <row r="95" spans="1:2" ht="15">
      <c r="A95" s="312" t="s">
        <v>93</v>
      </c>
      <c r="B95" s="310">
        <v>3145.31</v>
      </c>
    </row>
    <row r="96" spans="1:2" ht="15">
      <c r="A96" s="312" t="s">
        <v>94</v>
      </c>
      <c r="B96" s="310">
        <v>3338.14</v>
      </c>
    </row>
    <row r="97" spans="1:2" ht="15">
      <c r="A97" s="312" t="s">
        <v>95</v>
      </c>
      <c r="B97" s="310">
        <v>3338.14</v>
      </c>
    </row>
    <row r="98" spans="1:2" ht="15">
      <c r="A98" s="312" t="s">
        <v>97</v>
      </c>
      <c r="B98" s="310">
        <v>250.8</v>
      </c>
    </row>
    <row r="99" spans="1:2" ht="15">
      <c r="A99" s="312" t="s">
        <v>102</v>
      </c>
      <c r="B99" s="310">
        <v>4542.74</v>
      </c>
    </row>
    <row r="100" spans="1:2" ht="15">
      <c r="A100" s="312" t="s">
        <v>126</v>
      </c>
      <c r="B100" s="310">
        <v>4140</v>
      </c>
    </row>
    <row r="101" spans="1:2" ht="15">
      <c r="A101" s="312" t="s">
        <v>139</v>
      </c>
      <c r="B101" s="310">
        <v>5760.5</v>
      </c>
    </row>
    <row r="102" spans="1:2" ht="15">
      <c r="A102" s="312" t="s">
        <v>105</v>
      </c>
      <c r="B102" s="310">
        <v>46</v>
      </c>
    </row>
    <row r="103" spans="1:2" ht="15">
      <c r="A103" s="312" t="s">
        <v>106</v>
      </c>
      <c r="B103" s="310">
        <v>1876.68</v>
      </c>
    </row>
    <row r="104" spans="1:2" ht="15">
      <c r="A104" s="312" t="s">
        <v>109</v>
      </c>
      <c r="B104" s="310">
        <v>0</v>
      </c>
    </row>
    <row r="105" spans="1:2" ht="15">
      <c r="A105" s="312" t="s">
        <v>114</v>
      </c>
      <c r="B105" s="310">
        <v>140</v>
      </c>
    </row>
    <row r="106" spans="1:2" ht="18">
      <c r="A106" s="313" t="s">
        <v>140</v>
      </c>
      <c r="B106" s="314">
        <v>1299532.94</v>
      </c>
    </row>
    <row r="107" spans="1:2" ht="15">
      <c r="A107" s="312" t="s">
        <v>91</v>
      </c>
      <c r="B107" s="310">
        <v>37915.480000000003</v>
      </c>
    </row>
    <row r="108" spans="1:2" ht="15">
      <c r="A108" s="312" t="s">
        <v>92</v>
      </c>
      <c r="B108" s="310">
        <v>160.11000000000001</v>
      </c>
    </row>
    <row r="109" spans="1:2" ht="15">
      <c r="A109" s="312" t="s">
        <v>93</v>
      </c>
      <c r="B109" s="310">
        <v>1950.87</v>
      </c>
    </row>
    <row r="110" spans="1:2" ht="15">
      <c r="A110" s="312" t="s">
        <v>94</v>
      </c>
      <c r="B110" s="310">
        <v>2106.8200000000002</v>
      </c>
    </row>
    <row r="111" spans="1:2" ht="15">
      <c r="A111" s="312" t="s">
        <v>95</v>
      </c>
      <c r="B111" s="310">
        <v>2106.8200000000002</v>
      </c>
    </row>
    <row r="112" spans="1:2" ht="15">
      <c r="A112" s="312" t="s">
        <v>97</v>
      </c>
      <c r="B112" s="310">
        <v>698.6</v>
      </c>
    </row>
    <row r="113" spans="1:2" ht="15">
      <c r="A113" s="312" t="s">
        <v>121</v>
      </c>
      <c r="B113" s="310">
        <v>26513.21</v>
      </c>
    </row>
    <row r="114" spans="1:2" ht="15">
      <c r="A114" s="312" t="s">
        <v>125</v>
      </c>
      <c r="B114" s="310">
        <v>1350</v>
      </c>
    </row>
    <row r="115" spans="1:2" ht="15">
      <c r="A115" s="312" t="s">
        <v>102</v>
      </c>
      <c r="B115" s="310">
        <v>5935.68</v>
      </c>
    </row>
    <row r="116" spans="1:2" ht="15">
      <c r="A116" s="312" t="s">
        <v>126</v>
      </c>
      <c r="B116" s="310">
        <v>58569.57</v>
      </c>
    </row>
    <row r="117" spans="1:2" ht="15">
      <c r="A117" s="312" t="s">
        <v>106</v>
      </c>
      <c r="B117" s="310">
        <v>712.62</v>
      </c>
    </row>
    <row r="118" spans="1:2" ht="15">
      <c r="A118" s="312" t="s">
        <v>141</v>
      </c>
      <c r="B118" s="310">
        <v>496.2</v>
      </c>
    </row>
    <row r="119" spans="1:2" ht="15">
      <c r="A119" s="312" t="s">
        <v>114</v>
      </c>
      <c r="B119" s="310">
        <v>636</v>
      </c>
    </row>
    <row r="120" spans="1:2" ht="15">
      <c r="A120" s="312" t="s">
        <v>142</v>
      </c>
      <c r="B120" s="310">
        <v>549106.82999999996</v>
      </c>
    </row>
    <row r="121" spans="1:2" ht="15">
      <c r="A121" s="312" t="s">
        <v>143</v>
      </c>
      <c r="B121" s="310">
        <v>175298.01</v>
      </c>
    </row>
    <row r="122" spans="1:2" ht="15">
      <c r="A122" s="312" t="s">
        <v>144</v>
      </c>
      <c r="B122" s="310">
        <v>398515.72</v>
      </c>
    </row>
    <row r="123" spans="1:2" ht="15">
      <c r="A123" s="312" t="s">
        <v>145</v>
      </c>
      <c r="B123" s="310">
        <v>27860.400000000001</v>
      </c>
    </row>
    <row r="124" spans="1:2" ht="15">
      <c r="A124" s="312" t="s">
        <v>146</v>
      </c>
      <c r="B124" s="310">
        <v>9600</v>
      </c>
    </row>
    <row r="125" spans="1:2" ht="15">
      <c r="A125" s="312" t="s">
        <v>147</v>
      </c>
      <c r="B125" s="310">
        <v>107824.43</v>
      </c>
    </row>
    <row r="126" spans="1:2" ht="15">
      <c r="A126" s="312" t="s">
        <v>91</v>
      </c>
      <c r="B126" s="310">
        <v>89006.66</v>
      </c>
    </row>
    <row r="127" spans="1:2" ht="15">
      <c r="A127" s="312" t="s">
        <v>92</v>
      </c>
      <c r="B127" s="310">
        <v>380.39</v>
      </c>
    </row>
    <row r="128" spans="1:2" ht="15">
      <c r="A128" s="312" t="s">
        <v>93</v>
      </c>
      <c r="B128" s="310">
        <v>4917.8100000000004</v>
      </c>
    </row>
    <row r="129" spans="1:2" ht="15">
      <c r="A129" s="312" t="s">
        <v>94</v>
      </c>
      <c r="B129" s="310">
        <v>4963.01</v>
      </c>
    </row>
    <row r="130" spans="1:2" ht="15">
      <c r="A130" s="312" t="s">
        <v>95</v>
      </c>
      <c r="B130" s="310">
        <v>4963.01</v>
      </c>
    </row>
    <row r="131" spans="1:2" ht="15">
      <c r="A131" s="312" t="s">
        <v>121</v>
      </c>
      <c r="B131" s="310">
        <v>412.96</v>
      </c>
    </row>
    <row r="132" spans="1:2" ht="15">
      <c r="A132" s="312" t="s">
        <v>122</v>
      </c>
      <c r="B132" s="310">
        <v>5.95</v>
      </c>
    </row>
    <row r="133" spans="1:2" ht="15">
      <c r="A133" s="312" t="s">
        <v>148</v>
      </c>
      <c r="B133" s="310">
        <v>28.5</v>
      </c>
    </row>
    <row r="134" spans="1:2" ht="15">
      <c r="A134" s="312" t="s">
        <v>123</v>
      </c>
      <c r="B134" s="310">
        <v>25.59</v>
      </c>
    </row>
    <row r="135" spans="1:2" ht="15">
      <c r="A135" s="312" t="s">
        <v>105</v>
      </c>
      <c r="B135" s="310">
        <v>357</v>
      </c>
    </row>
    <row r="136" spans="1:2" ht="15">
      <c r="A136" s="312" t="s">
        <v>106</v>
      </c>
      <c r="B136" s="310">
        <v>27.1</v>
      </c>
    </row>
    <row r="137" spans="1:2" ht="15">
      <c r="A137" s="312" t="s">
        <v>107</v>
      </c>
      <c r="B137" s="310">
        <v>98.46</v>
      </c>
    </row>
    <row r="138" spans="1:2" ht="15">
      <c r="A138" s="312" t="s">
        <v>128</v>
      </c>
      <c r="B138" s="310">
        <v>357.2</v>
      </c>
    </row>
    <row r="139" spans="1:2" ht="15">
      <c r="A139" s="312" t="s">
        <v>129</v>
      </c>
      <c r="B139" s="310">
        <v>1619</v>
      </c>
    </row>
    <row r="140" spans="1:2" ht="15">
      <c r="A140" s="312" t="s">
        <v>130</v>
      </c>
      <c r="B140" s="310">
        <v>355</v>
      </c>
    </row>
    <row r="141" spans="1:2" ht="15">
      <c r="A141" s="312" t="s">
        <v>110</v>
      </c>
      <c r="B141" s="310">
        <v>92</v>
      </c>
    </row>
    <row r="142" spans="1:2" ht="15">
      <c r="A142" s="312" t="s">
        <v>111</v>
      </c>
      <c r="B142" s="310">
        <v>74.790000000000006</v>
      </c>
    </row>
    <row r="143" spans="1:2" ht="15">
      <c r="A143" s="312" t="s">
        <v>114</v>
      </c>
      <c r="B143" s="310">
        <v>140</v>
      </c>
    </row>
    <row r="144" spans="1:2" ht="18">
      <c r="A144" s="313" t="s">
        <v>149</v>
      </c>
      <c r="B144" s="314">
        <v>28588.67</v>
      </c>
    </row>
    <row r="145" spans="1:2" ht="15">
      <c r="A145" s="312" t="s">
        <v>91</v>
      </c>
      <c r="B145" s="310">
        <v>24363.99</v>
      </c>
    </row>
    <row r="146" spans="1:2" ht="15">
      <c r="A146" s="312" t="s">
        <v>92</v>
      </c>
      <c r="B146" s="310">
        <v>122.49</v>
      </c>
    </row>
    <row r="147" spans="1:2" ht="15">
      <c r="A147" s="312" t="s">
        <v>93</v>
      </c>
      <c r="B147" s="310">
        <v>1252.83</v>
      </c>
    </row>
    <row r="148" spans="1:2" ht="15">
      <c r="A148" s="312" t="s">
        <v>94</v>
      </c>
      <c r="B148" s="310">
        <v>1354.68</v>
      </c>
    </row>
    <row r="149" spans="1:2" ht="15">
      <c r="A149" s="312" t="s">
        <v>95</v>
      </c>
      <c r="B149" s="310">
        <v>1354.68</v>
      </c>
    </row>
    <row r="150" spans="1:2" ht="15">
      <c r="A150" s="312" t="s">
        <v>114</v>
      </c>
      <c r="B150" s="310">
        <v>140</v>
      </c>
    </row>
    <row r="151" spans="1:2" ht="18">
      <c r="A151" s="313" t="s">
        <v>150</v>
      </c>
      <c r="B151" s="314">
        <v>23062.57</v>
      </c>
    </row>
    <row r="152" spans="1:2" ht="15">
      <c r="A152" s="312" t="s">
        <v>91</v>
      </c>
      <c r="B152" s="310">
        <v>17641.21</v>
      </c>
    </row>
    <row r="153" spans="1:2" ht="15">
      <c r="A153" s="312" t="s">
        <v>92</v>
      </c>
      <c r="B153" s="310">
        <v>37.380000000000003</v>
      </c>
    </row>
    <row r="154" spans="1:2" ht="15">
      <c r="A154" s="312" t="s">
        <v>93</v>
      </c>
      <c r="B154" s="310">
        <v>1108.48</v>
      </c>
    </row>
    <row r="155" spans="1:2" ht="15">
      <c r="A155" s="312" t="s">
        <v>94</v>
      </c>
      <c r="B155" s="310">
        <v>988.85</v>
      </c>
    </row>
    <row r="156" spans="1:2" ht="15">
      <c r="A156" s="312" t="s">
        <v>95</v>
      </c>
      <c r="B156" s="310">
        <v>988.85</v>
      </c>
    </row>
    <row r="157" spans="1:2" ht="15">
      <c r="A157" s="312" t="s">
        <v>97</v>
      </c>
      <c r="B157" s="310">
        <v>489.8</v>
      </c>
    </row>
    <row r="158" spans="1:2" ht="15">
      <c r="A158" s="312" t="s">
        <v>151</v>
      </c>
      <c r="B158" s="310">
        <v>390</v>
      </c>
    </row>
    <row r="159" spans="1:2" ht="15">
      <c r="A159" s="312" t="s">
        <v>152</v>
      </c>
      <c r="B159" s="310">
        <v>338</v>
      </c>
    </row>
    <row r="160" spans="1:2" ht="15">
      <c r="A160" s="312" t="s">
        <v>114</v>
      </c>
      <c r="B160" s="310">
        <v>80</v>
      </c>
    </row>
    <row r="161" spans="1:2" ht="15">
      <c r="A161" s="312" t="s">
        <v>117</v>
      </c>
      <c r="B161" s="310">
        <v>1000</v>
      </c>
    </row>
    <row r="162" spans="1:2" ht="18">
      <c r="A162" s="313" t="s">
        <v>153</v>
      </c>
      <c r="B162" s="314">
        <v>28475.87</v>
      </c>
    </row>
    <row r="163" spans="1:2" ht="15">
      <c r="A163" s="312" t="s">
        <v>91</v>
      </c>
      <c r="B163" s="310">
        <v>24189.599999999999</v>
      </c>
    </row>
    <row r="164" spans="1:2" ht="15">
      <c r="A164" s="312" t="s">
        <v>92</v>
      </c>
      <c r="B164" s="310">
        <v>121.53</v>
      </c>
    </row>
    <row r="165" spans="1:2" ht="15">
      <c r="A165" s="312" t="s">
        <v>93</v>
      </c>
      <c r="B165" s="310">
        <v>966.61</v>
      </c>
    </row>
    <row r="166" spans="1:2" ht="15">
      <c r="A166" s="312" t="s">
        <v>94</v>
      </c>
      <c r="B166" s="310">
        <v>1330.4</v>
      </c>
    </row>
    <row r="167" spans="1:2" ht="15">
      <c r="A167" s="312" t="s">
        <v>95</v>
      </c>
      <c r="B167" s="310">
        <v>1330.4</v>
      </c>
    </row>
    <row r="168" spans="1:2" ht="15">
      <c r="A168" s="312" t="s">
        <v>106</v>
      </c>
      <c r="B168" s="310">
        <v>477.33</v>
      </c>
    </row>
    <row r="169" spans="1:2" ht="15">
      <c r="A169" s="312" t="s">
        <v>114</v>
      </c>
      <c r="B169" s="310">
        <v>60</v>
      </c>
    </row>
    <row r="170" spans="1:2" ht="18">
      <c r="A170" s="313" t="s">
        <v>154</v>
      </c>
      <c r="B170" s="314">
        <v>20918.16</v>
      </c>
    </row>
    <row r="171" spans="1:2" ht="15">
      <c r="A171" s="312" t="s">
        <v>91</v>
      </c>
      <c r="B171" s="310">
        <v>17551.5</v>
      </c>
    </row>
    <row r="172" spans="1:2" ht="15">
      <c r="A172" s="312" t="s">
        <v>92</v>
      </c>
      <c r="B172" s="310">
        <v>60.09</v>
      </c>
    </row>
    <row r="173" spans="1:2" ht="15">
      <c r="A173" s="312" t="s">
        <v>93</v>
      </c>
      <c r="B173" s="310">
        <v>928.05</v>
      </c>
    </row>
    <row r="174" spans="1:2" ht="15">
      <c r="A174" s="312" t="s">
        <v>94</v>
      </c>
      <c r="B174" s="310">
        <v>975.81</v>
      </c>
    </row>
    <row r="175" spans="1:2" ht="15">
      <c r="A175" s="312" t="s">
        <v>95</v>
      </c>
      <c r="B175" s="310">
        <v>975.81</v>
      </c>
    </row>
    <row r="176" spans="1:2" ht="15">
      <c r="A176" s="312" t="s">
        <v>106</v>
      </c>
      <c r="B176" s="310">
        <v>286.89999999999998</v>
      </c>
    </row>
    <row r="177" spans="1:2" ht="15">
      <c r="A177" s="312" t="s">
        <v>114</v>
      </c>
      <c r="B177" s="310">
        <v>140</v>
      </c>
    </row>
    <row r="178" spans="1:2" ht="18">
      <c r="A178" s="313" t="s">
        <v>155</v>
      </c>
      <c r="B178" s="314">
        <v>42057.61</v>
      </c>
    </row>
    <row r="179" spans="1:2" ht="15">
      <c r="A179" s="312" t="s">
        <v>91</v>
      </c>
      <c r="B179" s="310">
        <v>34883.51</v>
      </c>
    </row>
    <row r="180" spans="1:2" ht="15">
      <c r="A180" s="312" t="s">
        <v>92</v>
      </c>
      <c r="B180" s="310">
        <v>148.74</v>
      </c>
    </row>
    <row r="181" spans="1:2" ht="15">
      <c r="A181" s="312" t="s">
        <v>93</v>
      </c>
      <c r="B181" s="310">
        <v>1827.72</v>
      </c>
    </row>
    <row r="182" spans="1:2" ht="15">
      <c r="A182" s="312" t="s">
        <v>94</v>
      </c>
      <c r="B182" s="310">
        <v>1940.02</v>
      </c>
    </row>
    <row r="183" spans="1:2" ht="15">
      <c r="A183" s="312" t="s">
        <v>95</v>
      </c>
      <c r="B183" s="310">
        <v>1940.02</v>
      </c>
    </row>
    <row r="184" spans="1:2" ht="15">
      <c r="A184" s="312" t="s">
        <v>105</v>
      </c>
      <c r="B184" s="310">
        <v>465</v>
      </c>
    </row>
    <row r="185" spans="1:2" ht="15">
      <c r="A185" s="312" t="s">
        <v>106</v>
      </c>
      <c r="B185" s="310">
        <v>772.6</v>
      </c>
    </row>
    <row r="186" spans="1:2" ht="15">
      <c r="A186" s="312" t="s">
        <v>114</v>
      </c>
      <c r="B186" s="310">
        <v>80</v>
      </c>
    </row>
    <row r="187" spans="1:2" ht="18">
      <c r="A187" s="313" t="s">
        <v>156</v>
      </c>
      <c r="B187" s="314">
        <v>86474.240000000005</v>
      </c>
    </row>
    <row r="188" spans="1:2" ht="15">
      <c r="A188" s="312" t="s">
        <v>91</v>
      </c>
      <c r="B188" s="310">
        <v>19504.560000000001</v>
      </c>
    </row>
    <row r="189" spans="1:2" ht="15">
      <c r="A189" s="312" t="s">
        <v>92</v>
      </c>
      <c r="B189" s="310">
        <v>70.02</v>
      </c>
    </row>
    <row r="190" spans="1:2" ht="15">
      <c r="A190" s="312" t="s">
        <v>93</v>
      </c>
      <c r="B190" s="310">
        <v>1105.98</v>
      </c>
    </row>
    <row r="191" spans="1:2" ht="15">
      <c r="A191" s="312" t="s">
        <v>94</v>
      </c>
      <c r="B191" s="310">
        <v>1088.55</v>
      </c>
    </row>
    <row r="192" spans="1:2" ht="15">
      <c r="A192" s="312" t="s">
        <v>95</v>
      </c>
      <c r="B192" s="310">
        <v>1088.55</v>
      </c>
    </row>
    <row r="193" spans="1:2" ht="15">
      <c r="A193" s="312" t="s">
        <v>97</v>
      </c>
      <c r="B193" s="310">
        <v>250.8</v>
      </c>
    </row>
    <row r="194" spans="1:2" ht="15">
      <c r="A194" s="312" t="s">
        <v>106</v>
      </c>
      <c r="B194" s="310">
        <v>240.07</v>
      </c>
    </row>
    <row r="195" spans="1:2" ht="15">
      <c r="A195" s="312" t="s">
        <v>132</v>
      </c>
      <c r="B195" s="310">
        <v>60</v>
      </c>
    </row>
    <row r="196" spans="1:2" ht="15">
      <c r="A196" s="312" t="s">
        <v>114</v>
      </c>
      <c r="B196" s="310">
        <v>140</v>
      </c>
    </row>
    <row r="197" spans="1:2" ht="15">
      <c r="A197" s="312" t="s">
        <v>157</v>
      </c>
      <c r="B197" s="310">
        <v>45971.96</v>
      </c>
    </row>
    <row r="198" spans="1:2" ht="15">
      <c r="A198" s="312" t="s">
        <v>142</v>
      </c>
      <c r="B198" s="310">
        <v>16953.75</v>
      </c>
    </row>
    <row r="199" spans="1:2" ht="18">
      <c r="A199" s="313" t="s">
        <v>158</v>
      </c>
      <c r="B199" s="314">
        <v>29290.28</v>
      </c>
    </row>
    <row r="200" spans="1:2" ht="15">
      <c r="A200" s="312" t="s">
        <v>91</v>
      </c>
      <c r="B200" s="310">
        <v>24424.99</v>
      </c>
    </row>
    <row r="201" spans="1:2" ht="15">
      <c r="A201" s="312" t="s">
        <v>92</v>
      </c>
      <c r="B201" s="310">
        <v>93.99</v>
      </c>
    </row>
    <row r="202" spans="1:2" ht="15">
      <c r="A202" s="312" t="s">
        <v>93</v>
      </c>
      <c r="B202" s="310">
        <v>1298.33</v>
      </c>
    </row>
    <row r="203" spans="1:2" ht="15">
      <c r="A203" s="312" t="s">
        <v>94</v>
      </c>
      <c r="B203" s="310">
        <v>1358.87</v>
      </c>
    </row>
    <row r="204" spans="1:2" ht="15">
      <c r="A204" s="312" t="s">
        <v>95</v>
      </c>
      <c r="B204" s="310">
        <v>1358.87</v>
      </c>
    </row>
    <row r="205" spans="1:2" ht="15">
      <c r="A205" s="312" t="s">
        <v>101</v>
      </c>
      <c r="B205" s="310">
        <v>625.23</v>
      </c>
    </row>
    <row r="206" spans="1:2" ht="15">
      <c r="A206" s="312" t="s">
        <v>127</v>
      </c>
      <c r="B206" s="310">
        <v>50</v>
      </c>
    </row>
    <row r="207" spans="1:2" ht="15">
      <c r="A207" s="312" t="s">
        <v>114</v>
      </c>
      <c r="B207" s="310">
        <v>80</v>
      </c>
    </row>
    <row r="208" spans="1:2" ht="18">
      <c r="A208" s="313" t="s">
        <v>159</v>
      </c>
      <c r="B208" s="314">
        <v>1200757.5</v>
      </c>
    </row>
    <row r="209" spans="1:2" ht="15">
      <c r="A209" s="312" t="s">
        <v>91</v>
      </c>
      <c r="B209" s="310">
        <v>962117.83</v>
      </c>
    </row>
    <row r="210" spans="1:2" ht="15">
      <c r="A210" s="312" t="s">
        <v>92</v>
      </c>
      <c r="B210" s="310">
        <v>8663.74</v>
      </c>
    </row>
    <row r="211" spans="1:2" ht="15">
      <c r="A211" s="312" t="s">
        <v>93</v>
      </c>
      <c r="B211" s="310">
        <v>57599.41</v>
      </c>
    </row>
    <row r="212" spans="1:2" ht="15">
      <c r="A212" s="312" t="s">
        <v>94</v>
      </c>
      <c r="B212" s="310">
        <v>54126.39</v>
      </c>
    </row>
    <row r="213" spans="1:2" ht="15">
      <c r="A213" s="312" t="s">
        <v>95</v>
      </c>
      <c r="B213" s="310">
        <v>54126.39</v>
      </c>
    </row>
    <row r="214" spans="1:2" ht="15">
      <c r="A214" s="312" t="s">
        <v>121</v>
      </c>
      <c r="B214" s="310">
        <v>18531.95</v>
      </c>
    </row>
    <row r="215" spans="1:2" ht="15">
      <c r="A215" s="312" t="s">
        <v>122</v>
      </c>
      <c r="B215" s="310">
        <v>4680.3999999999996</v>
      </c>
    </row>
    <row r="216" spans="1:2" ht="15">
      <c r="A216" s="312" t="s">
        <v>148</v>
      </c>
      <c r="B216" s="310">
        <v>815.1</v>
      </c>
    </row>
    <row r="217" spans="1:2" ht="15">
      <c r="A217" s="312" t="s">
        <v>123</v>
      </c>
      <c r="B217" s="310">
        <v>34.869999999999997</v>
      </c>
    </row>
    <row r="218" spans="1:2" ht="15">
      <c r="A218" s="312" t="s">
        <v>126</v>
      </c>
      <c r="B218" s="310">
        <v>144</v>
      </c>
    </row>
    <row r="219" spans="1:2" ht="15">
      <c r="A219" s="312" t="s">
        <v>127</v>
      </c>
      <c r="B219" s="310">
        <v>60</v>
      </c>
    </row>
    <row r="220" spans="1:2" ht="15">
      <c r="A220" s="312" t="s">
        <v>105</v>
      </c>
      <c r="B220" s="310">
        <v>599.9</v>
      </c>
    </row>
    <row r="221" spans="1:2" ht="15">
      <c r="A221" s="312" t="s">
        <v>106</v>
      </c>
      <c r="B221" s="310">
        <v>5577.55</v>
      </c>
    </row>
    <row r="222" spans="1:2" ht="15">
      <c r="A222" s="312" t="s">
        <v>107</v>
      </c>
      <c r="B222" s="310">
        <v>60</v>
      </c>
    </row>
    <row r="223" spans="1:2" ht="15">
      <c r="A223" s="312" t="s">
        <v>160</v>
      </c>
      <c r="B223" s="310">
        <v>14335.2</v>
      </c>
    </row>
    <row r="224" spans="1:2" ht="15">
      <c r="A224" s="312" t="s">
        <v>128</v>
      </c>
      <c r="B224" s="310">
        <v>1174.8</v>
      </c>
    </row>
    <row r="225" spans="1:2" ht="15">
      <c r="A225" s="312" t="s">
        <v>161</v>
      </c>
      <c r="B225" s="310">
        <v>1970.65</v>
      </c>
    </row>
    <row r="226" spans="1:2" ht="15">
      <c r="A226" s="312" t="s">
        <v>162</v>
      </c>
      <c r="B226" s="310">
        <v>489.5</v>
      </c>
    </row>
    <row r="227" spans="1:2" ht="15">
      <c r="A227" s="312" t="s">
        <v>129</v>
      </c>
      <c r="B227" s="310">
        <v>5469.25</v>
      </c>
    </row>
    <row r="228" spans="1:2" ht="15">
      <c r="A228" s="312" t="s">
        <v>130</v>
      </c>
      <c r="B228" s="310">
        <v>470</v>
      </c>
    </row>
    <row r="229" spans="1:2" ht="15">
      <c r="A229" s="312" t="s">
        <v>110</v>
      </c>
      <c r="B229" s="310">
        <v>4884.4399999999996</v>
      </c>
    </row>
    <row r="230" spans="1:2" ht="15">
      <c r="A230" s="312" t="s">
        <v>163</v>
      </c>
      <c r="B230" s="310">
        <v>1319.63</v>
      </c>
    </row>
    <row r="231" spans="1:2" ht="15">
      <c r="A231" s="312" t="s">
        <v>132</v>
      </c>
      <c r="B231" s="310">
        <v>3279</v>
      </c>
    </row>
    <row r="232" spans="1:2" ht="15">
      <c r="A232" s="312" t="s">
        <v>114</v>
      </c>
      <c r="B232" s="310">
        <v>227.5</v>
      </c>
    </row>
    <row r="233" spans="1:2" ht="18">
      <c r="A233" s="313" t="s">
        <v>164</v>
      </c>
      <c r="B233" s="314">
        <v>62116.37</v>
      </c>
    </row>
    <row r="234" spans="1:2" ht="15">
      <c r="A234" s="312" t="s">
        <v>91</v>
      </c>
      <c r="B234" s="310">
        <v>40677.31</v>
      </c>
    </row>
    <row r="235" spans="1:2" ht="15">
      <c r="A235" s="312" t="s">
        <v>92</v>
      </c>
      <c r="B235" s="310">
        <v>242.11</v>
      </c>
    </row>
    <row r="236" spans="1:2" ht="15">
      <c r="A236" s="312" t="s">
        <v>93</v>
      </c>
      <c r="B236" s="310">
        <v>2042.18</v>
      </c>
    </row>
    <row r="237" spans="1:2" ht="15">
      <c r="A237" s="312" t="s">
        <v>94</v>
      </c>
      <c r="B237" s="310">
        <v>2261.29</v>
      </c>
    </row>
    <row r="238" spans="1:2" ht="15">
      <c r="A238" s="312" t="s">
        <v>95</v>
      </c>
      <c r="B238" s="310">
        <v>2261.29</v>
      </c>
    </row>
    <row r="239" spans="1:2" ht="15">
      <c r="A239" s="312" t="s">
        <v>121</v>
      </c>
      <c r="B239" s="310">
        <v>1066.26</v>
      </c>
    </row>
    <row r="240" spans="1:2" ht="15">
      <c r="A240" s="312" t="s">
        <v>122</v>
      </c>
      <c r="B240" s="310">
        <v>164.86</v>
      </c>
    </row>
    <row r="241" spans="1:2" ht="15">
      <c r="A241" s="312" t="s">
        <v>148</v>
      </c>
      <c r="B241" s="310">
        <v>77.84</v>
      </c>
    </row>
    <row r="242" spans="1:2" ht="15">
      <c r="A242" s="312" t="s">
        <v>123</v>
      </c>
      <c r="B242" s="310">
        <v>232.99</v>
      </c>
    </row>
    <row r="243" spans="1:2" ht="15">
      <c r="A243" s="312" t="s">
        <v>101</v>
      </c>
      <c r="B243" s="310">
        <v>451</v>
      </c>
    </row>
    <row r="244" spans="1:2" ht="15">
      <c r="A244" s="312" t="s">
        <v>105</v>
      </c>
      <c r="B244" s="310">
        <v>240</v>
      </c>
    </row>
    <row r="245" spans="1:2" ht="15">
      <c r="A245" s="312" t="s">
        <v>106</v>
      </c>
      <c r="B245" s="310">
        <v>1603.31</v>
      </c>
    </row>
    <row r="246" spans="1:2" ht="15">
      <c r="A246" s="312" t="s">
        <v>107</v>
      </c>
      <c r="B246" s="310">
        <v>120</v>
      </c>
    </row>
    <row r="247" spans="1:2" ht="15">
      <c r="A247" s="312" t="s">
        <v>129</v>
      </c>
      <c r="B247" s="310">
        <v>576.9</v>
      </c>
    </row>
    <row r="248" spans="1:2" ht="15">
      <c r="A248" s="312" t="s">
        <v>130</v>
      </c>
      <c r="B248" s="310">
        <v>210</v>
      </c>
    </row>
    <row r="249" spans="1:2" ht="15">
      <c r="A249" s="312" t="s">
        <v>131</v>
      </c>
      <c r="B249" s="310">
        <v>153.4</v>
      </c>
    </row>
    <row r="250" spans="1:2" ht="15">
      <c r="A250" s="312" t="s">
        <v>111</v>
      </c>
      <c r="B250" s="310">
        <v>41</v>
      </c>
    </row>
    <row r="251" spans="1:2" ht="15">
      <c r="A251" s="312" t="s">
        <v>132</v>
      </c>
      <c r="B251" s="310">
        <v>169.33</v>
      </c>
    </row>
    <row r="252" spans="1:2" ht="15">
      <c r="A252" s="312" t="s">
        <v>114</v>
      </c>
      <c r="B252" s="310">
        <v>275.3</v>
      </c>
    </row>
    <row r="253" spans="1:2" ht="15">
      <c r="A253" s="312" t="s">
        <v>118</v>
      </c>
      <c r="B253" s="310">
        <v>9250</v>
      </c>
    </row>
    <row r="254" spans="1:2" ht="18">
      <c r="A254" s="313" t="s">
        <v>165</v>
      </c>
      <c r="B254" s="314">
        <v>44709.46</v>
      </c>
    </row>
    <row r="255" spans="1:2" ht="15">
      <c r="A255" s="312" t="s">
        <v>91</v>
      </c>
      <c r="B255" s="310">
        <v>16969.560000000001</v>
      </c>
    </row>
    <row r="256" spans="1:2" ht="15">
      <c r="A256" s="312" t="s">
        <v>92</v>
      </c>
      <c r="B256" s="310">
        <v>138.33000000000001</v>
      </c>
    </row>
    <row r="257" spans="1:2" ht="15">
      <c r="A257" s="312" t="s">
        <v>93</v>
      </c>
      <c r="B257" s="310">
        <v>842.04</v>
      </c>
    </row>
    <row r="258" spans="1:2" ht="15">
      <c r="A258" s="312" t="s">
        <v>94</v>
      </c>
      <c r="B258" s="310">
        <v>944.85</v>
      </c>
    </row>
    <row r="259" spans="1:2" ht="15">
      <c r="A259" s="312" t="s">
        <v>95</v>
      </c>
      <c r="B259" s="310">
        <v>944.85</v>
      </c>
    </row>
    <row r="260" spans="1:2" ht="15">
      <c r="A260" s="312" t="s">
        <v>126</v>
      </c>
      <c r="B260" s="310">
        <v>12303.68</v>
      </c>
    </row>
    <row r="261" spans="1:2" ht="15">
      <c r="A261" s="312" t="s">
        <v>151</v>
      </c>
      <c r="B261" s="310">
        <v>7425.5</v>
      </c>
    </row>
    <row r="262" spans="1:2" ht="15">
      <c r="A262" s="312" t="s">
        <v>166</v>
      </c>
      <c r="B262" s="310">
        <v>250</v>
      </c>
    </row>
    <row r="263" spans="1:2" ht="15">
      <c r="A263" s="312" t="s">
        <v>167</v>
      </c>
      <c r="B263" s="310">
        <v>150</v>
      </c>
    </row>
    <row r="264" spans="1:2" ht="15">
      <c r="A264" s="312" t="s">
        <v>105</v>
      </c>
      <c r="B264" s="310">
        <v>2024.64</v>
      </c>
    </row>
    <row r="265" spans="1:2" ht="15">
      <c r="A265" s="312" t="s">
        <v>106</v>
      </c>
      <c r="B265" s="310">
        <v>724.4</v>
      </c>
    </row>
    <row r="266" spans="1:2" ht="15">
      <c r="A266" s="312" t="s">
        <v>107</v>
      </c>
      <c r="B266" s="310">
        <v>946.31</v>
      </c>
    </row>
    <row r="267" spans="1:2" ht="15">
      <c r="A267" s="312" t="s">
        <v>141</v>
      </c>
      <c r="B267" s="310">
        <v>256.24</v>
      </c>
    </row>
    <row r="268" spans="1:2" ht="15">
      <c r="A268" s="312" t="s">
        <v>111</v>
      </c>
      <c r="B268" s="310">
        <v>273.06</v>
      </c>
    </row>
    <row r="269" spans="1:2" ht="15">
      <c r="A269" s="312" t="s">
        <v>114</v>
      </c>
      <c r="B269" s="310">
        <v>516</v>
      </c>
    </row>
    <row r="270" spans="1:2" ht="18">
      <c r="A270" s="313" t="s">
        <v>168</v>
      </c>
      <c r="B270" s="314">
        <v>316953.68</v>
      </c>
    </row>
    <row r="271" spans="1:2" s="2" customFormat="1" ht="15">
      <c r="A271" s="312" t="s">
        <v>91</v>
      </c>
      <c r="B271" s="310">
        <v>48459.51</v>
      </c>
    </row>
    <row r="272" spans="1:2" s="2" customFormat="1" ht="15">
      <c r="A272" s="312" t="s">
        <v>92</v>
      </c>
      <c r="B272" s="310">
        <v>181.79</v>
      </c>
    </row>
    <row r="273" spans="1:2" s="2" customFormat="1" ht="15">
      <c r="A273" s="312" t="s">
        <v>93</v>
      </c>
      <c r="B273" s="310">
        <v>2439.5300000000002</v>
      </c>
    </row>
    <row r="274" spans="1:2" s="2" customFormat="1" ht="15">
      <c r="A274" s="312" t="s">
        <v>94</v>
      </c>
      <c r="B274" s="310">
        <v>2659.44</v>
      </c>
    </row>
    <row r="275" spans="1:2" s="2" customFormat="1" ht="15">
      <c r="A275" s="312" t="s">
        <v>95</v>
      </c>
      <c r="B275" s="310">
        <v>2659.44</v>
      </c>
    </row>
    <row r="276" spans="1:2" s="2" customFormat="1" ht="15">
      <c r="A276" s="312" t="s">
        <v>97</v>
      </c>
      <c r="B276" s="310">
        <v>167.2</v>
      </c>
    </row>
    <row r="277" spans="1:2" s="2" customFormat="1" ht="15">
      <c r="A277" s="312" t="s">
        <v>121</v>
      </c>
      <c r="B277" s="310">
        <v>3199.39</v>
      </c>
    </row>
    <row r="278" spans="1:2" s="2" customFormat="1" ht="15">
      <c r="A278" s="312" t="s">
        <v>122</v>
      </c>
      <c r="B278" s="310">
        <v>400</v>
      </c>
    </row>
    <row r="279" spans="1:2" s="2" customFormat="1" ht="15">
      <c r="A279" s="312" t="s">
        <v>103</v>
      </c>
      <c r="B279" s="310">
        <v>469</v>
      </c>
    </row>
    <row r="280" spans="1:2" s="2" customFormat="1" ht="15">
      <c r="A280" s="312" t="s">
        <v>127</v>
      </c>
      <c r="B280" s="310">
        <v>190</v>
      </c>
    </row>
    <row r="281" spans="1:2" s="2" customFormat="1" ht="15">
      <c r="A281" s="312" t="s">
        <v>151</v>
      </c>
      <c r="B281" s="310">
        <v>180</v>
      </c>
    </row>
    <row r="282" spans="1:2" s="2" customFormat="1" ht="15">
      <c r="A282" s="312" t="s">
        <v>105</v>
      </c>
      <c r="B282" s="310">
        <v>965</v>
      </c>
    </row>
    <row r="283" spans="1:2" s="2" customFormat="1" ht="15">
      <c r="A283" s="312" t="s">
        <v>106</v>
      </c>
      <c r="B283" s="310">
        <v>1405.72</v>
      </c>
    </row>
    <row r="284" spans="1:2" s="2" customFormat="1" ht="15">
      <c r="A284" s="312" t="s">
        <v>107</v>
      </c>
      <c r="B284" s="310">
        <v>637.4</v>
      </c>
    </row>
    <row r="285" spans="1:2" s="2" customFormat="1" ht="15">
      <c r="A285" s="312" t="s">
        <v>141</v>
      </c>
      <c r="B285" s="310">
        <v>175.75</v>
      </c>
    </row>
    <row r="286" spans="1:2" s="2" customFormat="1" ht="15">
      <c r="A286" s="312" t="s">
        <v>169</v>
      </c>
      <c r="B286" s="310">
        <v>390</v>
      </c>
    </row>
    <row r="287" spans="1:2" s="2" customFormat="1" ht="15">
      <c r="A287" s="312" t="s">
        <v>170</v>
      </c>
      <c r="B287" s="310">
        <v>875</v>
      </c>
    </row>
    <row r="288" spans="1:2" s="2" customFormat="1" ht="15">
      <c r="A288" s="312" t="s">
        <v>111</v>
      </c>
      <c r="B288" s="310">
        <v>232.33</v>
      </c>
    </row>
    <row r="289" spans="1:2" s="2" customFormat="1" ht="15">
      <c r="A289" s="312" t="s">
        <v>114</v>
      </c>
      <c r="B289" s="310">
        <v>859</v>
      </c>
    </row>
    <row r="290" spans="1:2" s="2" customFormat="1" ht="15">
      <c r="A290" s="312" t="s">
        <v>116</v>
      </c>
      <c r="B290" s="310">
        <v>5000</v>
      </c>
    </row>
    <row r="291" spans="1:2" s="2" customFormat="1" ht="15">
      <c r="A291" s="312" t="s">
        <v>117</v>
      </c>
      <c r="B291" s="310">
        <v>35300</v>
      </c>
    </row>
    <row r="292" spans="1:2" s="2" customFormat="1" ht="15">
      <c r="A292" s="312" t="s">
        <v>118</v>
      </c>
      <c r="B292" s="310">
        <v>4200</v>
      </c>
    </row>
    <row r="293" spans="1:2" s="2" customFormat="1" ht="15">
      <c r="A293" s="312" t="s">
        <v>157</v>
      </c>
      <c r="B293" s="310">
        <v>147574.10999999999</v>
      </c>
    </row>
    <row r="294" spans="1:2" s="2" customFormat="1" ht="15">
      <c r="A294" s="312" t="s">
        <v>119</v>
      </c>
      <c r="B294" s="310">
        <v>3011.4199999999996</v>
      </c>
    </row>
    <row r="295" spans="1:2" s="2" customFormat="1" ht="15">
      <c r="A295" s="312" t="s">
        <v>171</v>
      </c>
      <c r="B295" s="310">
        <v>55322.65</v>
      </c>
    </row>
    <row r="296" spans="1:2" ht="18">
      <c r="A296" s="322" t="s">
        <v>442</v>
      </c>
      <c r="B296" s="323">
        <f>SUM(B297:B330)</f>
        <v>4892448.4799999995</v>
      </c>
    </row>
    <row r="297" spans="1:2" s="2" customFormat="1" ht="15">
      <c r="A297" s="312" t="s">
        <v>408</v>
      </c>
      <c r="B297" s="310">
        <v>3812422.55</v>
      </c>
    </row>
    <row r="298" spans="1:2" s="2" customFormat="1" ht="15">
      <c r="A298" s="312" t="s">
        <v>409</v>
      </c>
      <c r="B298" s="310">
        <v>202639.3</v>
      </c>
    </row>
    <row r="299" spans="1:2" s="2" customFormat="1" ht="15">
      <c r="A299" s="312" t="s">
        <v>410</v>
      </c>
      <c r="B299" s="310">
        <v>212077.41</v>
      </c>
    </row>
    <row r="300" spans="1:2" s="2" customFormat="1" ht="15">
      <c r="A300" s="312" t="s">
        <v>411</v>
      </c>
      <c r="B300" s="310">
        <v>212077.41</v>
      </c>
    </row>
    <row r="301" spans="1:2" s="2" customFormat="1" ht="15">
      <c r="A301" s="312" t="s">
        <v>412</v>
      </c>
      <c r="B301" s="310">
        <v>14493.6</v>
      </c>
    </row>
    <row r="302" spans="1:2" s="2" customFormat="1" ht="15">
      <c r="A302" s="312" t="s">
        <v>413</v>
      </c>
      <c r="B302" s="310">
        <v>37068.839999999997</v>
      </c>
    </row>
    <row r="303" spans="1:2" s="2" customFormat="1" ht="15">
      <c r="A303" s="316" t="s">
        <v>414</v>
      </c>
      <c r="B303" s="317">
        <v>3890</v>
      </c>
    </row>
    <row r="304" spans="1:2" s="2" customFormat="1" ht="15">
      <c r="A304" s="312" t="s">
        <v>415</v>
      </c>
      <c r="B304" s="310">
        <v>125.4</v>
      </c>
    </row>
    <row r="305" spans="1:2" s="2" customFormat="1" ht="15">
      <c r="A305" s="312" t="s">
        <v>416</v>
      </c>
      <c r="B305" s="310">
        <v>2342.4</v>
      </c>
    </row>
    <row r="306" spans="1:2" s="2" customFormat="1" ht="15">
      <c r="A306" s="312" t="s">
        <v>417</v>
      </c>
      <c r="B306" s="310">
        <v>247.8</v>
      </c>
    </row>
    <row r="307" spans="1:2" s="2" customFormat="1" ht="15">
      <c r="A307" s="312" t="s">
        <v>418</v>
      </c>
      <c r="B307" s="310">
        <v>1514.24</v>
      </c>
    </row>
    <row r="308" spans="1:2" s="2" customFormat="1" ht="15">
      <c r="A308" s="312" t="s">
        <v>419</v>
      </c>
      <c r="B308" s="310">
        <v>546</v>
      </c>
    </row>
    <row r="309" spans="1:2" s="2" customFormat="1" ht="15">
      <c r="A309" s="312" t="s">
        <v>420</v>
      </c>
      <c r="B309" s="310">
        <v>11581.6</v>
      </c>
    </row>
    <row r="310" spans="1:2" s="2" customFormat="1" ht="15">
      <c r="A310" s="312" t="s">
        <v>421</v>
      </c>
      <c r="B310" s="310">
        <v>930</v>
      </c>
    </row>
    <row r="311" spans="1:2" s="2" customFormat="1" ht="15">
      <c r="A311" s="312" t="s">
        <v>422</v>
      </c>
      <c r="B311" s="310">
        <v>7335.87</v>
      </c>
    </row>
    <row r="312" spans="1:2" s="2" customFormat="1" ht="15">
      <c r="A312" s="312" t="s">
        <v>423</v>
      </c>
      <c r="B312" s="310">
        <v>19665.05</v>
      </c>
    </row>
    <row r="313" spans="1:2" s="2" customFormat="1" ht="15">
      <c r="A313" s="312" t="s">
        <v>424</v>
      </c>
      <c r="B313" s="310">
        <v>13801.27</v>
      </c>
    </row>
    <row r="314" spans="1:2" s="2" customFormat="1" ht="15">
      <c r="A314" s="316" t="s">
        <v>425</v>
      </c>
      <c r="B314" s="317">
        <v>2757.35</v>
      </c>
    </row>
    <row r="315" spans="1:2" s="2" customFormat="1" ht="15">
      <c r="A315" s="316" t="s">
        <v>426</v>
      </c>
      <c r="B315" s="317">
        <v>933</v>
      </c>
    </row>
    <row r="316" spans="1:2" s="2" customFormat="1" ht="15">
      <c r="A316" s="316" t="s">
        <v>427</v>
      </c>
      <c r="B316" s="317">
        <v>3342.08</v>
      </c>
    </row>
    <row r="317" spans="1:2" s="2" customFormat="1" ht="15">
      <c r="A317" s="316" t="s">
        <v>428</v>
      </c>
      <c r="B317" s="317">
        <v>3133.1</v>
      </c>
    </row>
    <row r="318" spans="1:2" s="2" customFormat="1" ht="15">
      <c r="A318" s="316" t="s">
        <v>429</v>
      </c>
      <c r="B318" s="317">
        <v>2721.24</v>
      </c>
    </row>
    <row r="319" spans="1:2" s="2" customFormat="1" ht="15">
      <c r="A319" s="316" t="s">
        <v>430</v>
      </c>
      <c r="B319" s="317">
        <v>4528.01</v>
      </c>
    </row>
    <row r="320" spans="1:2" s="2" customFormat="1" ht="15">
      <c r="A320" s="316" t="s">
        <v>431</v>
      </c>
      <c r="B320" s="317">
        <v>1840</v>
      </c>
    </row>
    <row r="321" spans="1:2" s="2" customFormat="1" ht="15">
      <c r="A321" s="312" t="s">
        <v>432</v>
      </c>
      <c r="B321" s="310">
        <v>15207.99</v>
      </c>
    </row>
    <row r="322" spans="1:2" s="2" customFormat="1" ht="15">
      <c r="A322" s="312" t="s">
        <v>433</v>
      </c>
      <c r="B322" s="310">
        <v>370.04</v>
      </c>
    </row>
    <row r="323" spans="1:2" s="2" customFormat="1" ht="15">
      <c r="A323" s="312" t="s">
        <v>434</v>
      </c>
      <c r="B323" s="310">
        <v>590</v>
      </c>
    </row>
    <row r="324" spans="1:2" s="2" customFormat="1" ht="15">
      <c r="A324" s="312" t="s">
        <v>435</v>
      </c>
      <c r="B324" s="310">
        <v>517.1</v>
      </c>
    </row>
    <row r="325" spans="1:2" s="2" customFormat="1" ht="15">
      <c r="A325" s="312" t="s">
        <v>436</v>
      </c>
      <c r="B325" s="310">
        <v>25858.19</v>
      </c>
    </row>
    <row r="326" spans="1:2" s="2" customFormat="1" ht="15">
      <c r="A326" s="312" t="s">
        <v>437</v>
      </c>
      <c r="B326" s="310">
        <v>14476.04</v>
      </c>
    </row>
    <row r="327" spans="1:2" s="2" customFormat="1" ht="15">
      <c r="A327" s="312" t="s">
        <v>438</v>
      </c>
      <c r="B327" s="310">
        <v>1564.48</v>
      </c>
    </row>
    <row r="328" spans="1:2" s="2" customFormat="1" ht="15">
      <c r="A328" s="312" t="s">
        <v>439</v>
      </c>
      <c r="B328" s="310">
        <v>698.42</v>
      </c>
    </row>
    <row r="329" spans="1:2" s="2" customFormat="1" ht="15">
      <c r="A329" s="312" t="s">
        <v>440</v>
      </c>
      <c r="B329" s="310">
        <v>249859.29</v>
      </c>
    </row>
    <row r="330" spans="1:2" s="2" customFormat="1" ht="15">
      <c r="A330" s="312" t="s">
        <v>441</v>
      </c>
      <c r="B330" s="310">
        <v>11293.41</v>
      </c>
    </row>
    <row r="331" spans="1:2" ht="18">
      <c r="A331" s="320" t="s">
        <v>443</v>
      </c>
      <c r="B331" s="321">
        <v>9024210.2200000007</v>
      </c>
    </row>
  </sheetData>
  <mergeCells count="2">
    <mergeCell ref="A1:B1"/>
    <mergeCell ref="A2:B2"/>
  </mergeCells>
  <pageMargins left="0.7" right="0.7" top="0.75" bottom="0.75" header="0.3" footer="0.3"/>
  <pageSetup scale="82" orientation="portrait" r:id="rId1"/>
  <rowBreaks count="1" manualBreakCount="1">
    <brk id="274" max="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78"/>
  <sheetViews>
    <sheetView tabSelected="1" zoomScaleNormal="100" workbookViewId="0">
      <selection activeCell="S23" sqref="S23"/>
    </sheetView>
  </sheetViews>
  <sheetFormatPr defaultRowHeight="12.75"/>
  <cols>
    <col min="6" max="6" width="6.5703125" customWidth="1"/>
    <col min="7" max="10" width="9.140625" hidden="1" customWidth="1"/>
    <col min="11" max="11" width="3.42578125" customWidth="1"/>
    <col min="12" max="12" width="23" customWidth="1"/>
    <col min="13" max="13" width="28" customWidth="1"/>
    <col min="14" max="14" width="24" customWidth="1"/>
    <col min="15" max="15" width="22.85546875" customWidth="1"/>
    <col min="17" max="17" width="11.85546875" customWidth="1"/>
    <col min="18" max="19" width="16.140625" customWidth="1"/>
    <col min="20" max="20" width="12.42578125" customWidth="1"/>
  </cols>
  <sheetData>
    <row r="1" spans="1:20" ht="15.75">
      <c r="A1" s="400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20" ht="16.5" customHeight="1" thickBot="1">
      <c r="A2" s="399" t="s">
        <v>172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</row>
    <row r="3" spans="1:20" ht="36" thickTop="1" thickBot="1">
      <c r="A3" s="394" t="s">
        <v>173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111" t="s">
        <v>174</v>
      </c>
      <c r="M3" s="111" t="s">
        <v>175</v>
      </c>
      <c r="N3" s="112" t="s">
        <v>176</v>
      </c>
      <c r="O3" s="111" t="s">
        <v>177</v>
      </c>
    </row>
    <row r="4" spans="1:20" ht="17.25" customHeight="1" thickTop="1" thickBot="1">
      <c r="A4" s="395" t="s">
        <v>178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116">
        <v>6371452.5700000003</v>
      </c>
      <c r="M4" s="116">
        <v>6534402.9800000004</v>
      </c>
      <c r="N4" s="117">
        <f>M4/L4-100%</f>
        <v>2.5575080126508665E-2</v>
      </c>
      <c r="O4" s="117">
        <v>0.75415438903266474</v>
      </c>
      <c r="Q4" t="s">
        <v>462</v>
      </c>
      <c r="R4" t="s">
        <v>463</v>
      </c>
    </row>
    <row r="5" spans="1:20" ht="17.25" customHeight="1" thickTop="1" thickBot="1">
      <c r="A5" s="395" t="s">
        <v>179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116">
        <v>33580.160000000003</v>
      </c>
      <c r="M5" s="116">
        <v>37068.839999999997</v>
      </c>
      <c r="N5" s="117">
        <f t="shared" ref="N5:N72" si="0">M5/L5-100%</f>
        <v>0.10389110712992422</v>
      </c>
      <c r="O5" s="117">
        <v>5.3690103299494944E-3</v>
      </c>
    </row>
    <row r="6" spans="1:20" ht="17.25" customHeight="1" thickTop="1" thickBot="1">
      <c r="A6" s="395" t="s">
        <v>180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116">
        <v>150</v>
      </c>
      <c r="M6" s="116">
        <v>0</v>
      </c>
      <c r="N6" s="117">
        <f t="shared" si="0"/>
        <v>-1</v>
      </c>
      <c r="O6" s="117">
        <v>0</v>
      </c>
      <c r="Q6" s="35">
        <f>48764.43</f>
        <v>48764.43</v>
      </c>
      <c r="R6" s="35">
        <f>M5+M6+M7+M8+M9+M10</f>
        <v>48764.429999999993</v>
      </c>
      <c r="S6" s="35">
        <f>Q6-R6</f>
        <v>0</v>
      </c>
      <c r="T6">
        <v>1</v>
      </c>
    </row>
    <row r="7" spans="1:20" ht="17.25" customHeight="1" thickTop="1" thickBot="1">
      <c r="A7" s="395" t="s">
        <v>181</v>
      </c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116">
        <v>7289</v>
      </c>
      <c r="M7" s="116">
        <v>4760</v>
      </c>
      <c r="N7" s="117">
        <f t="shared" si="0"/>
        <v>-0.34696117437234186</v>
      </c>
      <c r="O7" s="117">
        <v>1.7144269636984691E-4</v>
      </c>
      <c r="Q7" s="35">
        <f>14098.83</f>
        <v>14098.83</v>
      </c>
      <c r="R7" s="35">
        <f>M15+M16+M17</f>
        <v>14098.830000000002</v>
      </c>
      <c r="S7" s="35">
        <f t="shared" ref="S7:S9" si="1">Q7-R7</f>
        <v>0</v>
      </c>
      <c r="T7">
        <v>2</v>
      </c>
    </row>
    <row r="8" spans="1:20" ht="17.25" customHeight="1" thickTop="1" thickBot="1">
      <c r="A8" s="395" t="s">
        <v>182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116">
        <v>11016</v>
      </c>
      <c r="M8" s="116">
        <v>6505.57</v>
      </c>
      <c r="N8" s="117">
        <f t="shared" si="0"/>
        <v>-0.40944353667392885</v>
      </c>
      <c r="O8" s="117">
        <v>1.097631119564503E-3</v>
      </c>
      <c r="Q8" s="35">
        <v>6460.61</v>
      </c>
      <c r="R8" s="35">
        <f>M42+M43</f>
        <v>6460.6100000000006</v>
      </c>
      <c r="S8" s="35">
        <f t="shared" si="1"/>
        <v>0</v>
      </c>
      <c r="T8">
        <v>3</v>
      </c>
    </row>
    <row r="9" spans="1:20" ht="17.25" customHeight="1" thickTop="1" thickBot="1">
      <c r="A9" s="395" t="s">
        <v>183</v>
      </c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116">
        <v>377.2</v>
      </c>
      <c r="M9" s="116">
        <v>296.02</v>
      </c>
      <c r="N9" s="117">
        <f t="shared" si="0"/>
        <v>-0.2152173913043478</v>
      </c>
      <c r="O9" s="117">
        <v>5.098499797006438E-5</v>
      </c>
      <c r="Q9" s="35">
        <v>1622.46</v>
      </c>
      <c r="R9" s="35">
        <f>1622.46</f>
        <v>1622.46</v>
      </c>
      <c r="S9" s="35">
        <f t="shared" si="1"/>
        <v>0</v>
      </c>
      <c r="T9">
        <v>4</v>
      </c>
    </row>
    <row r="10" spans="1:20" ht="17.25" customHeight="1" thickTop="1" thickBot="1">
      <c r="A10" s="395" t="s">
        <v>184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116">
        <v>2910.7</v>
      </c>
      <c r="M10" s="116">
        <v>134</v>
      </c>
      <c r="N10" s="117">
        <f t="shared" si="0"/>
        <v>-0.95396296423540727</v>
      </c>
      <c r="O10" s="117">
        <v>7.4061040224064874E-6</v>
      </c>
      <c r="Q10" s="35">
        <v>23133.56</v>
      </c>
      <c r="R10" s="35">
        <f>M24+M25+M26+M27+M29</f>
        <v>23133.559999999998</v>
      </c>
      <c r="S10" s="35"/>
      <c r="T10">
        <v>5</v>
      </c>
    </row>
    <row r="11" spans="1:20" ht="17.25" customHeight="1" thickTop="1" thickBot="1">
      <c r="A11" s="395" t="s">
        <v>185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116">
        <v>113040.90999999999</v>
      </c>
      <c r="M11" s="116"/>
      <c r="N11" s="117">
        <f t="shared" si="0"/>
        <v>-1</v>
      </c>
      <c r="O11" s="117">
        <v>1.0555155339836909E-2</v>
      </c>
      <c r="Q11" s="35"/>
      <c r="R11" s="35"/>
      <c r="S11" s="35"/>
      <c r="T11">
        <v>6</v>
      </c>
    </row>
    <row r="12" spans="1:20" ht="17.25" customHeight="1" thickTop="1" thickBot="1">
      <c r="A12" s="395" t="s">
        <v>186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116">
        <v>7990.89</v>
      </c>
      <c r="M12" s="116"/>
      <c r="N12" s="117">
        <f t="shared" si="0"/>
        <v>-1</v>
      </c>
      <c r="O12" s="117">
        <v>1.7292770634382804E-3</v>
      </c>
      <c r="Q12" s="35">
        <v>37971.85</v>
      </c>
      <c r="R12" s="35">
        <f>M37+M38+M39+M40</f>
        <v>37971.85</v>
      </c>
      <c r="S12" s="35">
        <f>Q12-R12</f>
        <v>0</v>
      </c>
      <c r="T12">
        <v>7</v>
      </c>
    </row>
    <row r="13" spans="1:20" ht="17.25" customHeight="1" thickTop="1" thickBot="1">
      <c r="A13" s="395" t="s">
        <v>187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116">
        <v>3357</v>
      </c>
      <c r="M13" s="116"/>
      <c r="N13" s="117">
        <f t="shared" si="0"/>
        <v>-1</v>
      </c>
      <c r="O13" s="117">
        <v>1.6310307877066268E-4</v>
      </c>
      <c r="Q13" s="35"/>
      <c r="R13" s="35"/>
      <c r="S13" s="35"/>
      <c r="T13">
        <v>8</v>
      </c>
    </row>
    <row r="14" spans="1:20" ht="17.25" customHeight="1" thickTop="1" thickBot="1">
      <c r="A14" s="395" t="s">
        <v>188</v>
      </c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116">
        <v>3506.44</v>
      </c>
      <c r="M14" s="116"/>
      <c r="N14" s="117">
        <f t="shared" si="0"/>
        <v>-1</v>
      </c>
      <c r="O14" s="117">
        <v>2.2989924765367861E-4</v>
      </c>
      <c r="Q14" s="35">
        <v>178906.65</v>
      </c>
      <c r="R14" s="35">
        <f>M18+M19+M20+M21+M22+M23</f>
        <v>178410.45</v>
      </c>
      <c r="S14" s="35">
        <f>Q14-R14</f>
        <v>496.19999999998254</v>
      </c>
      <c r="T14">
        <v>9</v>
      </c>
    </row>
    <row r="15" spans="1:20" ht="17.25" customHeight="1" thickTop="1" thickBot="1">
      <c r="A15" s="395" t="s">
        <v>189</v>
      </c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116">
        <v>878.4</v>
      </c>
      <c r="M15" s="116">
        <v>2452.04</v>
      </c>
      <c r="N15" s="117">
        <f t="shared" si="0"/>
        <v>1.7914845173041893</v>
      </c>
      <c r="O15" s="117">
        <v>2.7103584962371501E-4</v>
      </c>
      <c r="Q15" s="35">
        <v>46767.06</v>
      </c>
      <c r="R15" s="35">
        <f>M44+M45+M46+M47+M48+M49+M50+M51</f>
        <v>46767.06</v>
      </c>
      <c r="S15" s="35">
        <f>Q15-R15</f>
        <v>0</v>
      </c>
      <c r="T15">
        <v>10</v>
      </c>
    </row>
    <row r="16" spans="1:20" ht="17.25" customHeight="1" thickTop="1" thickBot="1">
      <c r="A16" s="395" t="s">
        <v>190</v>
      </c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116">
        <v>9949.3799999999992</v>
      </c>
      <c r="M16" s="116">
        <v>10354.790000000001</v>
      </c>
      <c r="N16" s="117">
        <f t="shared" si="0"/>
        <v>4.0747262643501481E-2</v>
      </c>
      <c r="O16" s="117">
        <v>1.3170584806004534E-3</v>
      </c>
      <c r="Q16" s="35">
        <v>10983.43</v>
      </c>
      <c r="R16" s="35">
        <f>M55</f>
        <v>10983.4</v>
      </c>
      <c r="S16" s="35">
        <f>Q16-R16</f>
        <v>3.0000000000654836E-2</v>
      </c>
      <c r="T16">
        <v>11</v>
      </c>
    </row>
    <row r="17" spans="1:20" ht="17.25" customHeight="1" thickTop="1" thickBot="1">
      <c r="A17" s="395" t="s">
        <v>191</v>
      </c>
      <c r="B17" s="395"/>
      <c r="C17" s="395"/>
      <c r="D17" s="395"/>
      <c r="E17" s="395"/>
      <c r="F17" s="395"/>
      <c r="G17" s="395"/>
      <c r="H17" s="395"/>
      <c r="I17" s="395"/>
      <c r="J17" s="395"/>
      <c r="K17" s="395"/>
      <c r="L17" s="116">
        <v>14974.099999999999</v>
      </c>
      <c r="M17" s="116">
        <v>1292</v>
      </c>
      <c r="N17" s="117">
        <f t="shared" si="0"/>
        <v>-0.91371768587093716</v>
      </c>
      <c r="O17" s="117">
        <v>1.4667530663910151E-4</v>
      </c>
      <c r="Q17" s="35"/>
      <c r="R17" s="35"/>
      <c r="S17" s="35">
        <f t="shared" ref="S17:S18" si="2">Q17-R17</f>
        <v>0</v>
      </c>
      <c r="T17">
        <v>12</v>
      </c>
    </row>
    <row r="18" spans="1:20" ht="17.25" customHeight="1" thickTop="1" thickBot="1">
      <c r="A18" s="395" t="s">
        <v>192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116">
        <v>8822</v>
      </c>
      <c r="M18" s="116">
        <v>4800</v>
      </c>
      <c r="N18" s="117">
        <f t="shared" si="0"/>
        <v>-0.45590569031965544</v>
      </c>
      <c r="O18" s="117">
        <v>7.7505739769370216E-5</v>
      </c>
      <c r="Q18" s="35">
        <v>5164.8500000000004</v>
      </c>
      <c r="R18" s="35">
        <f>M52+M53+M54</f>
        <v>5164.8500000000004</v>
      </c>
      <c r="S18" s="35">
        <f t="shared" si="2"/>
        <v>0</v>
      </c>
      <c r="T18">
        <v>13</v>
      </c>
    </row>
    <row r="19" spans="1:20" ht="17.25" customHeight="1" thickTop="1" thickBot="1">
      <c r="A19" s="395" t="s">
        <v>193</v>
      </c>
      <c r="B19" s="395"/>
      <c r="C19" s="395"/>
      <c r="D19" s="395"/>
      <c r="E19" s="395"/>
      <c r="F19" s="395"/>
      <c r="G19" s="395"/>
      <c r="H19" s="395"/>
      <c r="I19" s="395"/>
      <c r="J19" s="395"/>
      <c r="K19" s="395"/>
      <c r="L19" s="116">
        <v>3778</v>
      </c>
      <c r="M19" s="116">
        <v>23758.1</v>
      </c>
      <c r="N19" s="117">
        <v>0</v>
      </c>
      <c r="O19" s="117">
        <v>1.8944469619361266E-3</v>
      </c>
      <c r="Q19" s="35"/>
      <c r="R19" s="35"/>
      <c r="S19" s="35"/>
    </row>
    <row r="20" spans="1:20" ht="17.25" customHeight="1" thickTop="1" thickBot="1">
      <c r="A20" s="395" t="s">
        <v>194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116">
        <v>738.98</v>
      </c>
      <c r="M20" s="116">
        <v>1090</v>
      </c>
      <c r="N20" s="117">
        <f t="shared" si="0"/>
        <v>0.47500608947468126</v>
      </c>
      <c r="O20" s="117">
        <v>1.8773612521914119E-4</v>
      </c>
      <c r="Q20" s="35"/>
      <c r="R20" s="35"/>
      <c r="S20" s="35"/>
    </row>
    <row r="21" spans="1:20" ht="17.25" customHeight="1" thickTop="1" thickBot="1">
      <c r="A21" s="395" t="s">
        <v>195</v>
      </c>
      <c r="B21" s="395"/>
      <c r="C21" s="395"/>
      <c r="D21" s="395"/>
      <c r="E21" s="395"/>
      <c r="F21" s="395"/>
      <c r="G21" s="395"/>
      <c r="H21" s="395"/>
      <c r="I21" s="395"/>
      <c r="J21" s="395"/>
      <c r="K21" s="395"/>
      <c r="L21" s="116">
        <v>164968.41</v>
      </c>
      <c r="M21" s="116">
        <v>142601.85</v>
      </c>
      <c r="N21" s="117">
        <f t="shared" si="0"/>
        <v>-0.13558086666410862</v>
      </c>
      <c r="O21" s="117">
        <v>1.5297598935392176E-2</v>
      </c>
      <c r="Q21" s="35"/>
      <c r="R21" s="35"/>
      <c r="S21" s="35"/>
    </row>
    <row r="22" spans="1:20" ht="17.25" customHeight="1" thickTop="1" thickBot="1">
      <c r="A22" s="395" t="s">
        <v>196</v>
      </c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116">
        <v>1156</v>
      </c>
      <c r="M22" s="116">
        <v>400</v>
      </c>
      <c r="N22" s="117">
        <f t="shared" si="0"/>
        <v>-0.65397923875432529</v>
      </c>
      <c r="O22" s="117">
        <v>1.8945847499179385E-5</v>
      </c>
      <c r="Q22" s="35"/>
      <c r="R22" s="35"/>
      <c r="S22" s="35"/>
    </row>
    <row r="23" spans="1:20" ht="17.25" customHeight="1" thickTop="1" thickBot="1">
      <c r="A23" s="395" t="s">
        <v>197</v>
      </c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116">
        <v>14760.5</v>
      </c>
      <c r="M23" s="116">
        <v>5760.5</v>
      </c>
      <c r="N23" s="117">
        <f t="shared" si="0"/>
        <v>-0.60973544256630874</v>
      </c>
      <c r="O23" s="117">
        <v>9.9215958653657132E-4</v>
      </c>
      <c r="Q23" s="35"/>
      <c r="R23" s="35"/>
      <c r="S23" s="35"/>
    </row>
    <row r="24" spans="1:20" ht="17.25" customHeight="1" thickTop="1" thickBot="1">
      <c r="A24" s="395" t="s">
        <v>198</v>
      </c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116">
        <v>60553.440000000002</v>
      </c>
      <c r="M24" s="116">
        <v>8925.5</v>
      </c>
      <c r="N24" s="117">
        <f t="shared" si="0"/>
        <v>-0.85260127252886053</v>
      </c>
      <c r="O24" s="117">
        <v>1.537283289581142E-3</v>
      </c>
      <c r="Q24" s="35" t="s">
        <v>464</v>
      </c>
      <c r="R24" s="35">
        <v>456100.14</v>
      </c>
      <c r="S24" s="35"/>
    </row>
    <row r="25" spans="1:20" ht="17.25" customHeight="1" thickTop="1" thickBot="1">
      <c r="A25" s="395" t="s">
        <v>199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116">
        <v>8394</v>
      </c>
      <c r="M25" s="116">
        <v>250</v>
      </c>
      <c r="N25" s="117">
        <f t="shared" si="0"/>
        <v>-0.97021682153919464</v>
      </c>
      <c r="O25" s="117">
        <v>4.3058744316316785E-5</v>
      </c>
      <c r="Q25" s="35"/>
      <c r="R25" s="35"/>
      <c r="S25" s="35"/>
    </row>
    <row r="26" spans="1:20" ht="17.25" customHeight="1" thickTop="1" thickBot="1">
      <c r="A26" s="395" t="s">
        <v>200</v>
      </c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116">
        <v>830</v>
      </c>
      <c r="M26" s="116">
        <v>781.25</v>
      </c>
      <c r="N26" s="117">
        <f t="shared" si="0"/>
        <v>-5.8734939759036098E-2</v>
      </c>
      <c r="O26" s="117">
        <v>1.3455857598848996E-4</v>
      </c>
      <c r="Q26" s="35"/>
      <c r="R26" s="35"/>
      <c r="S26" s="35"/>
    </row>
    <row r="27" spans="1:20" ht="17.25" customHeight="1" thickTop="1" thickBot="1">
      <c r="A27" s="395" t="s">
        <v>201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95"/>
      <c r="L27" s="116">
        <v>349</v>
      </c>
      <c r="M27" s="116">
        <v>150</v>
      </c>
      <c r="N27" s="117">
        <f t="shared" si="0"/>
        <v>-0.57020057306590255</v>
      </c>
      <c r="O27" s="117">
        <v>2.5835246589790073E-5</v>
      </c>
      <c r="Q27" s="35"/>
      <c r="R27" s="35"/>
      <c r="S27" s="35">
        <f>M18+M19+M20+M21+M22+M23</f>
        <v>178410.45</v>
      </c>
    </row>
    <row r="28" spans="1:20" ht="17.25" customHeight="1" thickTop="1" thickBot="1">
      <c r="A28" s="388" t="s">
        <v>202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  <c r="L28" s="116">
        <v>1352.3</v>
      </c>
      <c r="M28" s="116">
        <v>0</v>
      </c>
      <c r="N28" s="117">
        <v>0</v>
      </c>
      <c r="O28" s="117">
        <v>0</v>
      </c>
    </row>
    <row r="29" spans="1:20" ht="17.25" customHeight="1" thickTop="1" thickBot="1">
      <c r="A29" s="395" t="s">
        <v>203</v>
      </c>
      <c r="B29" s="395"/>
      <c r="C29" s="395"/>
      <c r="D29" s="395"/>
      <c r="E29" s="395"/>
      <c r="F29" s="395"/>
      <c r="G29" s="395"/>
      <c r="H29" s="395"/>
      <c r="I29" s="395"/>
      <c r="J29" s="395"/>
      <c r="K29" s="395"/>
      <c r="L29" s="116">
        <v>11914.46</v>
      </c>
      <c r="M29" s="116">
        <v>13026.81</v>
      </c>
      <c r="N29" s="117">
        <f t="shared" si="0"/>
        <v>9.3361344114630596E-2</v>
      </c>
      <c r="O29" s="117">
        <v>9.4569920141926564E-4</v>
      </c>
    </row>
    <row r="30" spans="1:20" ht="17.25" customHeight="1" thickTop="1" thickBot="1">
      <c r="A30" s="395" t="s">
        <v>204</v>
      </c>
      <c r="B30" s="395"/>
      <c r="C30" s="395"/>
      <c r="D30" s="395"/>
      <c r="E30" s="395"/>
      <c r="F30" s="395"/>
      <c r="G30" s="395"/>
      <c r="H30" s="395"/>
      <c r="I30" s="395"/>
      <c r="J30" s="395"/>
      <c r="K30" s="395"/>
      <c r="L30" s="116">
        <v>34590.370000000003</v>
      </c>
      <c r="M30" s="116">
        <v>47016.46</v>
      </c>
      <c r="N30" s="117">
        <f t="shared" si="0"/>
        <v>0.35923553289542709</v>
      </c>
      <c r="O30" s="117">
        <v>3.6357649726350221E-3</v>
      </c>
      <c r="T30" s="106"/>
    </row>
    <row r="31" spans="1:20" ht="17.25" customHeight="1" thickTop="1" thickBot="1">
      <c r="A31" s="395" t="s">
        <v>205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116">
        <v>13312.78</v>
      </c>
      <c r="M31" s="116">
        <v>16024.44</v>
      </c>
      <c r="N31" s="117">
        <f t="shared" si="0"/>
        <v>0.20368848580086207</v>
      </c>
      <c r="O31" s="117">
        <v>2.1247234041900159E-3</v>
      </c>
    </row>
    <row r="32" spans="1:20" ht="17.25" customHeight="1" thickTop="1" thickBot="1">
      <c r="A32" s="395" t="s">
        <v>206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116">
        <v>21675.3</v>
      </c>
      <c r="M32" s="116">
        <v>14335.2</v>
      </c>
      <c r="N32" s="117">
        <f t="shared" si="0"/>
        <v>-0.33863891157215809</v>
      </c>
      <c r="O32" s="117">
        <v>1.9580016685470103E-3</v>
      </c>
    </row>
    <row r="33" spans="1:15" ht="17.25" customHeight="1" thickTop="1" thickBot="1">
      <c r="A33" s="395" t="s">
        <v>207</v>
      </c>
      <c r="B33" s="395"/>
      <c r="C33" s="395"/>
      <c r="D33" s="395"/>
      <c r="E33" s="395"/>
      <c r="F33" s="395"/>
      <c r="G33" s="395"/>
      <c r="H33" s="395"/>
      <c r="I33" s="395"/>
      <c r="J33" s="395"/>
      <c r="K33" s="395"/>
      <c r="L33" s="116">
        <v>2549.1</v>
      </c>
      <c r="M33" s="116">
        <v>3685.54</v>
      </c>
      <c r="N33" s="117">
        <f t="shared" si="0"/>
        <v>0.44582009336628614</v>
      </c>
      <c r="O33" s="117">
        <v>3.2648345585472243E-4</v>
      </c>
    </row>
    <row r="34" spans="1:15" ht="17.25" customHeight="1" thickTop="1" thickBot="1">
      <c r="A34" s="395" t="s">
        <v>208</v>
      </c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116">
        <v>2152</v>
      </c>
      <c r="M34" s="116">
        <v>1271</v>
      </c>
      <c r="N34" s="117">
        <f t="shared" si="0"/>
        <v>-0.40938661710037172</v>
      </c>
      <c r="O34" s="117">
        <v>2.1891065610415454E-4</v>
      </c>
    </row>
    <row r="35" spans="1:15" ht="17.25" customHeight="1" thickTop="1" thickBot="1">
      <c r="A35" s="395" t="s">
        <v>209</v>
      </c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116">
        <v>0</v>
      </c>
      <c r="M35" s="116">
        <v>390</v>
      </c>
      <c r="N35" s="117">
        <v>0</v>
      </c>
      <c r="O35" s="117">
        <v>6.7171641133454186E-5</v>
      </c>
    </row>
    <row r="36" spans="1:15" ht="17.25" customHeight="1" thickTop="1" thickBot="1">
      <c r="A36" s="395" t="s">
        <v>210</v>
      </c>
      <c r="B36" s="395"/>
      <c r="C36" s="395"/>
      <c r="D36" s="395"/>
      <c r="E36" s="395"/>
      <c r="F36" s="395"/>
      <c r="G36" s="395"/>
      <c r="H36" s="395"/>
      <c r="I36" s="395"/>
      <c r="J36" s="395"/>
      <c r="K36" s="395"/>
      <c r="L36" s="116">
        <v>82.5</v>
      </c>
      <c r="M36" s="116">
        <v>0</v>
      </c>
      <c r="N36" s="117">
        <f t="shared" si="0"/>
        <v>-1</v>
      </c>
      <c r="O36" s="117">
        <v>0</v>
      </c>
    </row>
    <row r="37" spans="1:15" ht="17.25" customHeight="1" thickTop="1" thickBot="1">
      <c r="A37" s="395" t="s">
        <v>211</v>
      </c>
      <c r="B37" s="395"/>
      <c r="C37" s="395"/>
      <c r="D37" s="395"/>
      <c r="E37" s="395"/>
      <c r="F37" s="395"/>
      <c r="G37" s="395"/>
      <c r="H37" s="395"/>
      <c r="I37" s="395"/>
      <c r="J37" s="395"/>
      <c r="K37" s="395"/>
      <c r="L37" s="116">
        <v>16256.51</v>
      </c>
      <c r="M37" s="116">
        <v>6454.04</v>
      </c>
      <c r="N37" s="117">
        <f t="shared" si="0"/>
        <v>-0.60298735706495432</v>
      </c>
      <c r="O37" s="117">
        <v>1.14715039787804E-3</v>
      </c>
    </row>
    <row r="38" spans="1:15" ht="17.25" customHeight="1" thickTop="1" thickBot="1">
      <c r="A38" s="395" t="s">
        <v>212</v>
      </c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116">
        <v>8050</v>
      </c>
      <c r="M38" s="116">
        <v>5978.75</v>
      </c>
      <c r="N38" s="117">
        <f t="shared" si="0"/>
        <v>-0.25729813664596268</v>
      </c>
      <c r="O38" s="117">
        <v>6.9033501237691724E-4</v>
      </c>
    </row>
    <row r="39" spans="1:15" ht="17.25" customHeight="1" thickTop="1" thickBot="1">
      <c r="A39" s="395" t="s">
        <v>213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116">
        <v>1633.36</v>
      </c>
      <c r="M39" s="116">
        <v>3210.74</v>
      </c>
      <c r="N39" s="117">
        <f t="shared" si="0"/>
        <v>0.96572709016995639</v>
      </c>
      <c r="O39" s="117">
        <v>5.530017309046838E-4</v>
      </c>
    </row>
    <row r="40" spans="1:15" ht="17.25" customHeight="1" thickTop="1" thickBot="1">
      <c r="A40" s="395" t="s">
        <v>214</v>
      </c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116">
        <v>31864.53</v>
      </c>
      <c r="M40" s="116">
        <v>22328.32</v>
      </c>
      <c r="N40" s="117">
        <f t="shared" si="0"/>
        <v>-0.29927351823485238</v>
      </c>
      <c r="O40" s="117">
        <v>3.8102252258065562E-3</v>
      </c>
    </row>
    <row r="41" spans="1:15" ht="17.25" customHeight="1" thickTop="1" thickBot="1">
      <c r="A41" s="395" t="s">
        <v>215</v>
      </c>
      <c r="B41" s="395"/>
      <c r="C41" s="395"/>
      <c r="D41" s="395"/>
      <c r="E41" s="395"/>
      <c r="F41" s="395"/>
      <c r="G41" s="395"/>
      <c r="H41" s="395"/>
      <c r="I41" s="395"/>
      <c r="J41" s="395"/>
      <c r="K41" s="395"/>
      <c r="L41" s="116">
        <v>0</v>
      </c>
      <c r="M41" s="116">
        <v>0</v>
      </c>
      <c r="N41" s="117">
        <v>0</v>
      </c>
      <c r="O41" s="117">
        <v>0</v>
      </c>
    </row>
    <row r="42" spans="1:15" ht="17.25" customHeight="1" thickTop="1" thickBot="1">
      <c r="A42" s="395" t="s">
        <v>216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116">
        <v>5096.6400000000003</v>
      </c>
      <c r="M42" s="116">
        <v>3020</v>
      </c>
      <c r="N42" s="117">
        <f t="shared" si="0"/>
        <v>-0.40745275318641305</v>
      </c>
      <c r="O42" s="117">
        <v>3.7030520112032436E-4</v>
      </c>
    </row>
    <row r="43" spans="1:15" ht="17.25" customHeight="1" thickTop="1" thickBot="1">
      <c r="A43" s="395" t="s">
        <v>217</v>
      </c>
      <c r="B43" s="395"/>
      <c r="C43" s="395"/>
      <c r="D43" s="395"/>
      <c r="E43" s="395"/>
      <c r="F43" s="395"/>
      <c r="G43" s="395"/>
      <c r="H43" s="395"/>
      <c r="I43" s="395"/>
      <c r="J43" s="395"/>
      <c r="K43" s="395"/>
      <c r="L43" s="116">
        <v>5626.55</v>
      </c>
      <c r="M43" s="116">
        <v>3440.61</v>
      </c>
      <c r="N43" s="117">
        <f t="shared" si="0"/>
        <v>-0.38850450098195166</v>
      </c>
      <c r="O43" s="117">
        <v>4.5683088664907662E-4</v>
      </c>
    </row>
    <row r="44" spans="1:15" ht="17.25" customHeight="1" thickTop="1" thickBot="1">
      <c r="A44" s="395" t="s">
        <v>218</v>
      </c>
      <c r="B44" s="395"/>
      <c r="C44" s="395"/>
      <c r="D44" s="395"/>
      <c r="E44" s="395"/>
      <c r="F44" s="395"/>
      <c r="G44" s="395"/>
      <c r="H44" s="395"/>
      <c r="I44" s="395"/>
      <c r="J44" s="395"/>
      <c r="K44" s="395"/>
      <c r="L44" s="116">
        <v>31269</v>
      </c>
      <c r="M44" s="116">
        <v>21758.53</v>
      </c>
      <c r="N44" s="117">
        <f t="shared" si="0"/>
        <v>-0.30415011672902881</v>
      </c>
      <c r="O44" s="117">
        <v>2.4862187862232221E-3</v>
      </c>
    </row>
    <row r="45" spans="1:15" ht="17.25" customHeight="1" thickTop="1" thickBot="1">
      <c r="A45" s="395" t="s">
        <v>219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116">
        <v>8032.9</v>
      </c>
      <c r="M45" s="116">
        <v>1967.43</v>
      </c>
      <c r="N45" s="117">
        <f t="shared" si="0"/>
        <v>-0.75507848971106317</v>
      </c>
      <c r="O45" s="117">
        <v>1.1702677765265843E-4</v>
      </c>
    </row>
    <row r="46" spans="1:15" ht="17.25" customHeight="1" thickTop="1" thickBot="1">
      <c r="A46" s="395" t="s">
        <v>220</v>
      </c>
      <c r="B46" s="395"/>
      <c r="C46" s="395"/>
      <c r="D46" s="395"/>
      <c r="E46" s="395"/>
      <c r="F46" s="395"/>
      <c r="G46" s="395"/>
      <c r="H46" s="395"/>
      <c r="I46" s="395"/>
      <c r="J46" s="395"/>
      <c r="K46" s="395"/>
      <c r="L46" s="116">
        <v>16350.38</v>
      </c>
      <c r="M46" s="116">
        <v>15207.99</v>
      </c>
      <c r="N46" s="117">
        <f t="shared" si="0"/>
        <v>-6.9869324138032263E-2</v>
      </c>
      <c r="O46" s="117">
        <v>8.6282834210808231E-5</v>
      </c>
    </row>
    <row r="47" spans="1:15" ht="17.25" customHeight="1" thickTop="1" thickBot="1">
      <c r="A47" s="395" t="s">
        <v>221</v>
      </c>
      <c r="B47" s="395"/>
      <c r="C47" s="395"/>
      <c r="D47" s="395"/>
      <c r="E47" s="395"/>
      <c r="F47" s="395"/>
      <c r="G47" s="395"/>
      <c r="H47" s="395"/>
      <c r="I47" s="395"/>
      <c r="J47" s="395"/>
      <c r="K47" s="395"/>
      <c r="L47" s="116">
        <v>645.57000000000005</v>
      </c>
      <c r="M47" s="116">
        <v>1319.63</v>
      </c>
      <c r="N47" s="117">
        <f t="shared" si="0"/>
        <v>1.0441315426677198</v>
      </c>
      <c r="O47" s="117">
        <v>2.1016628630839693E-4</v>
      </c>
    </row>
    <row r="48" spans="1:15" ht="17.25" customHeight="1" thickTop="1" thickBot="1">
      <c r="A48" s="395" t="s">
        <v>222</v>
      </c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116">
        <v>8557.92</v>
      </c>
      <c r="M48" s="116">
        <v>0</v>
      </c>
      <c r="N48" s="117">
        <f t="shared" si="0"/>
        <v>-1</v>
      </c>
      <c r="O48" s="117">
        <v>0</v>
      </c>
    </row>
    <row r="49" spans="1:27" ht="17.25" customHeight="1" thickTop="1" thickBot="1">
      <c r="A49" s="395" t="s">
        <v>223</v>
      </c>
      <c r="B49" s="395"/>
      <c r="C49" s="395"/>
      <c r="D49" s="395"/>
      <c r="E49" s="395"/>
      <c r="F49" s="395"/>
      <c r="G49" s="395"/>
      <c r="H49" s="395"/>
      <c r="I49" s="395"/>
      <c r="J49" s="395"/>
      <c r="K49" s="395"/>
      <c r="L49" s="116">
        <v>405.13</v>
      </c>
      <c r="M49" s="116">
        <v>370.04</v>
      </c>
      <c r="N49" s="117">
        <f t="shared" si="0"/>
        <v>-8.6614173228346414E-2</v>
      </c>
      <c r="O49" s="117">
        <v>6.3733830987239463E-5</v>
      </c>
    </row>
    <row r="50" spans="1:27" ht="17.25" customHeight="1" thickTop="1" thickBot="1">
      <c r="A50" s="395" t="s">
        <v>224</v>
      </c>
      <c r="B50" s="395"/>
      <c r="C50" s="395"/>
      <c r="D50" s="395"/>
      <c r="E50" s="395"/>
      <c r="F50" s="395"/>
      <c r="G50" s="395"/>
      <c r="H50" s="395"/>
      <c r="I50" s="395"/>
      <c r="J50" s="395"/>
      <c r="K50" s="395"/>
      <c r="L50" s="116">
        <v>2153.8000000000002</v>
      </c>
      <c r="M50" s="116">
        <v>6082.08</v>
      </c>
      <c r="N50" s="117">
        <f t="shared" si="0"/>
        <v>1.8238833689293341</v>
      </c>
      <c r="O50" s="117">
        <v>8.2461801240178278E-4</v>
      </c>
    </row>
    <row r="51" spans="1:27" ht="17.25" customHeight="1" thickTop="1" thickBot="1">
      <c r="A51" s="395" t="s">
        <v>225</v>
      </c>
      <c r="B51" s="395"/>
      <c r="C51" s="395"/>
      <c r="D51" s="395"/>
      <c r="E51" s="395"/>
      <c r="F51" s="395"/>
      <c r="G51" s="395"/>
      <c r="H51" s="395"/>
      <c r="I51" s="395"/>
      <c r="J51" s="395"/>
      <c r="K51" s="395"/>
      <c r="L51" s="116">
        <v>0</v>
      </c>
      <c r="M51" s="116">
        <v>61.36</v>
      </c>
      <c r="N51" s="117">
        <v>0</v>
      </c>
      <c r="O51" s="117">
        <v>1.0568338204996792E-5</v>
      </c>
    </row>
    <row r="52" spans="1:27" ht="17.25" customHeight="1" thickTop="1" thickBot="1">
      <c r="A52" s="395" t="s">
        <v>226</v>
      </c>
      <c r="B52" s="395"/>
      <c r="C52" s="395"/>
      <c r="D52" s="395"/>
      <c r="E52" s="395"/>
      <c r="F52" s="395"/>
      <c r="G52" s="395"/>
      <c r="H52" s="395"/>
      <c r="I52" s="395"/>
      <c r="J52" s="395"/>
      <c r="K52" s="395"/>
      <c r="L52" s="116">
        <v>66</v>
      </c>
      <c r="M52" s="116">
        <v>985.55</v>
      </c>
      <c r="N52" s="117">
        <v>0</v>
      </c>
      <c r="O52" s="117">
        <v>1.6974618184378403E-4</v>
      </c>
    </row>
    <row r="53" spans="1:27" ht="17.25" customHeight="1" thickTop="1" thickBot="1">
      <c r="A53" s="395" t="s">
        <v>227</v>
      </c>
      <c r="B53" s="395"/>
      <c r="C53" s="395"/>
      <c r="D53" s="395"/>
      <c r="E53" s="395"/>
      <c r="F53" s="395"/>
      <c r="G53" s="395"/>
      <c r="H53" s="395"/>
      <c r="I53" s="395"/>
      <c r="J53" s="395"/>
      <c r="K53" s="395"/>
      <c r="L53" s="116">
        <v>2105.0500000000002</v>
      </c>
      <c r="M53" s="116">
        <v>3779.3</v>
      </c>
      <c r="N53" s="117">
        <f t="shared" si="0"/>
        <v>0.79534927911451025</v>
      </c>
      <c r="O53" s="117">
        <v>4.608577404175386E-4</v>
      </c>
    </row>
    <row r="54" spans="1:27" ht="17.25" customHeight="1" thickTop="1" thickBot="1">
      <c r="A54" s="395" t="s">
        <v>228</v>
      </c>
      <c r="B54" s="395"/>
      <c r="C54" s="395"/>
      <c r="D54" s="395"/>
      <c r="E54" s="395"/>
      <c r="F54" s="395"/>
      <c r="G54" s="395"/>
      <c r="H54" s="395"/>
      <c r="I54" s="395"/>
      <c r="J54" s="395"/>
      <c r="K54" s="395"/>
      <c r="L54" s="116">
        <v>200.85</v>
      </c>
      <c r="M54" s="116">
        <v>400</v>
      </c>
      <c r="N54" s="117">
        <f t="shared" si="0"/>
        <v>0.99153597211849642</v>
      </c>
      <c r="O54" s="117">
        <v>6.8893990906106862E-5</v>
      </c>
    </row>
    <row r="55" spans="1:27" ht="17.25" customHeight="1" thickTop="1" thickBot="1">
      <c r="A55" s="395" t="s">
        <v>229</v>
      </c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116">
        <v>14670.49</v>
      </c>
      <c r="M55" s="116">
        <v>10983.4</v>
      </c>
      <c r="N55" s="117">
        <f t="shared" si="0"/>
        <v>-0.25132698362495054</v>
      </c>
      <c r="O55" s="117">
        <v>1.4748653338202092E-3</v>
      </c>
    </row>
    <row r="56" spans="1:27" ht="17.25" customHeight="1" thickTop="1" thickBot="1">
      <c r="A56" s="395" t="s">
        <v>230</v>
      </c>
      <c r="B56" s="395"/>
      <c r="C56" s="395"/>
      <c r="D56" s="395"/>
      <c r="E56" s="395"/>
      <c r="F56" s="395"/>
      <c r="G56" s="395"/>
      <c r="H56" s="395"/>
      <c r="I56" s="395"/>
      <c r="J56" s="395"/>
      <c r="K56" s="395"/>
      <c r="L56" s="116">
        <v>12345.599999999999</v>
      </c>
      <c r="M56" s="116">
        <v>1622.46</v>
      </c>
      <c r="N56" s="117">
        <f t="shared" si="0"/>
        <v>-0.86857989891135301</v>
      </c>
      <c r="O56" s="117">
        <v>1.4918993730717441E-4</v>
      </c>
    </row>
    <row r="57" spans="1:27" ht="17.25" customHeight="1" thickTop="1" thickBot="1">
      <c r="A57" s="395" t="s">
        <v>231</v>
      </c>
      <c r="B57" s="395"/>
      <c r="C57" s="395"/>
      <c r="D57" s="395"/>
      <c r="E57" s="395"/>
      <c r="F57" s="395"/>
      <c r="G57" s="395"/>
      <c r="H57" s="395"/>
      <c r="I57" s="395"/>
      <c r="J57" s="395"/>
      <c r="K57" s="395"/>
      <c r="L57" s="116">
        <v>2685.47</v>
      </c>
      <c r="M57" s="116">
        <v>0</v>
      </c>
      <c r="N57" s="117">
        <f t="shared" si="0"/>
        <v>-1</v>
      </c>
      <c r="O57" s="117">
        <v>0</v>
      </c>
    </row>
    <row r="58" spans="1:27" ht="17.25" customHeight="1" thickTop="1" thickBot="1">
      <c r="A58" s="395" t="s">
        <v>232</v>
      </c>
      <c r="B58" s="395"/>
      <c r="C58" s="395"/>
      <c r="D58" s="395"/>
      <c r="E58" s="395"/>
      <c r="F58" s="395"/>
      <c r="G58" s="395"/>
      <c r="H58" s="395"/>
      <c r="I58" s="395"/>
      <c r="J58" s="395"/>
      <c r="K58" s="395"/>
      <c r="L58" s="116">
        <v>2100</v>
      </c>
      <c r="M58" s="116">
        <v>6500</v>
      </c>
      <c r="N58" s="117">
        <f t="shared" si="0"/>
        <v>2.0952380952380953</v>
      </c>
      <c r="O58" s="117">
        <v>2.5835246589790071E-4</v>
      </c>
    </row>
    <row r="59" spans="1:27" ht="17.25" customHeight="1" thickTop="1" thickBot="1">
      <c r="A59" s="395" t="s">
        <v>233</v>
      </c>
      <c r="B59" s="395"/>
      <c r="C59" s="395"/>
      <c r="D59" s="395"/>
      <c r="E59" s="395"/>
      <c r="F59" s="395"/>
      <c r="G59" s="395"/>
      <c r="H59" s="395"/>
      <c r="I59" s="395"/>
      <c r="J59" s="395"/>
      <c r="K59" s="395"/>
      <c r="L59" s="116">
        <v>57280</v>
      </c>
      <c r="M59" s="116">
        <v>75497</v>
      </c>
      <c r="N59" s="117">
        <f t="shared" si="0"/>
        <v>0.31803421787709496</v>
      </c>
      <c r="O59" s="117">
        <v>1.053165215483929E-2</v>
      </c>
    </row>
    <row r="60" spans="1:27" ht="17.25" customHeight="1" thickTop="1" thickBot="1">
      <c r="A60" s="395" t="s">
        <v>234</v>
      </c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116">
        <v>74181</v>
      </c>
      <c r="M60" s="116">
        <v>106600</v>
      </c>
      <c r="N60" s="117">
        <f t="shared" si="0"/>
        <v>0.43702565346921718</v>
      </c>
      <c r="O60" s="117">
        <v>1.2251073932878453E-2</v>
      </c>
    </row>
    <row r="61" spans="1:27" ht="17.25" customHeight="1" thickTop="1" thickBot="1">
      <c r="A61" s="396" t="s">
        <v>235</v>
      </c>
      <c r="B61" s="396"/>
      <c r="C61" s="396"/>
      <c r="D61" s="396"/>
      <c r="E61" s="396"/>
      <c r="F61" s="396"/>
      <c r="G61" s="396"/>
      <c r="H61" s="396"/>
      <c r="I61" s="396"/>
      <c r="J61" s="396"/>
      <c r="K61" s="396"/>
      <c r="L61" s="118">
        <v>95790.97</v>
      </c>
      <c r="M61" s="118">
        <v>249859.29</v>
      </c>
      <c r="N61" s="119">
        <f t="shared" si="0"/>
        <v>1.6083804141455089</v>
      </c>
      <c r="O61" s="119">
        <v>2.0165417537948156E-2</v>
      </c>
    </row>
    <row r="62" spans="1:27" ht="18" customHeight="1" thickTop="1" thickBot="1">
      <c r="A62" s="404" t="s">
        <v>236</v>
      </c>
      <c r="B62" s="404"/>
      <c r="C62" s="404"/>
      <c r="D62" s="404"/>
      <c r="E62" s="404"/>
      <c r="F62" s="404"/>
      <c r="G62" s="404"/>
      <c r="H62" s="404"/>
      <c r="I62" s="404"/>
      <c r="J62" s="404"/>
      <c r="K62" s="404"/>
      <c r="L62" s="120">
        <v>16425.900000000001</v>
      </c>
      <c r="M62" s="120">
        <v>0</v>
      </c>
      <c r="N62" s="121">
        <v>0</v>
      </c>
      <c r="O62" s="122">
        <v>0</v>
      </c>
      <c r="P62" s="108"/>
      <c r="Q62" s="108"/>
      <c r="R62" s="108"/>
      <c r="S62" s="387"/>
      <c r="T62" s="387"/>
      <c r="U62" s="387"/>
      <c r="V62" s="387"/>
      <c r="W62" s="387"/>
      <c r="X62" s="387"/>
      <c r="Y62" s="387"/>
      <c r="Z62" s="107"/>
      <c r="AA62" s="109"/>
    </row>
    <row r="63" spans="1:27" ht="14.25" thickTop="1" thickBot="1">
      <c r="A63" s="397" t="s">
        <v>237</v>
      </c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123">
        <v>36855.22</v>
      </c>
      <c r="M63" s="123">
        <v>193546.07</v>
      </c>
      <c r="N63" s="124">
        <f t="shared" si="0"/>
        <v>4.2515239360937205</v>
      </c>
      <c r="O63" s="125">
        <v>1.7265280209661497E-2</v>
      </c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</row>
    <row r="64" spans="1:27" ht="17.25" customHeight="1" thickTop="1" thickBot="1">
      <c r="A64" s="391" t="s">
        <v>238</v>
      </c>
      <c r="B64" s="392"/>
      <c r="C64" s="392"/>
      <c r="D64" s="303"/>
      <c r="E64" s="303"/>
      <c r="F64" s="303"/>
      <c r="G64" s="303"/>
      <c r="H64" s="303"/>
      <c r="I64" s="303"/>
      <c r="J64" s="303"/>
      <c r="K64" s="304"/>
      <c r="L64" s="116">
        <v>63893.96</v>
      </c>
      <c r="M64" s="116">
        <v>11293.41</v>
      </c>
      <c r="N64" s="117">
        <v>0</v>
      </c>
      <c r="O64" s="117">
        <v>0</v>
      </c>
    </row>
    <row r="65" spans="1:15" ht="16.5" customHeight="1" thickTop="1" thickBot="1">
      <c r="A65" s="391" t="s">
        <v>239</v>
      </c>
      <c r="B65" s="392"/>
      <c r="C65" s="392"/>
      <c r="D65" s="392"/>
      <c r="E65" s="392"/>
      <c r="F65" s="392"/>
      <c r="G65" s="392"/>
      <c r="H65" s="392"/>
      <c r="I65" s="392"/>
      <c r="J65" s="392"/>
      <c r="K65" s="393"/>
      <c r="L65" s="116">
        <v>2737</v>
      </c>
      <c r="M65" s="116">
        <v>0</v>
      </c>
      <c r="N65" s="117">
        <v>0</v>
      </c>
      <c r="O65" s="117">
        <v>0</v>
      </c>
    </row>
    <row r="66" spans="1:15" ht="14.25" thickTop="1" thickBot="1">
      <c r="A66" s="395" t="s">
        <v>240</v>
      </c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116">
        <v>946450.04</v>
      </c>
      <c r="M66" s="116">
        <v>566060.57999999996</v>
      </c>
      <c r="N66" s="117">
        <f t="shared" si="0"/>
        <v>-0.4019118219911535</v>
      </c>
      <c r="O66" s="117">
        <v>4.0578705321077845E-2</v>
      </c>
    </row>
    <row r="67" spans="1:15" ht="14.25" thickTop="1" thickBot="1">
      <c r="A67" s="396" t="s">
        <v>241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116">
        <v>109024.69</v>
      </c>
      <c r="M67" s="116">
        <v>175298.01</v>
      </c>
      <c r="N67" s="117">
        <f t="shared" si="0"/>
        <v>0.60787441817078314</v>
      </c>
      <c r="O67" s="117">
        <v>1.1007342771498915E-2</v>
      </c>
    </row>
    <row r="68" spans="1:15" ht="14.25" thickTop="1" thickBot="1">
      <c r="A68" s="401" t="s">
        <v>242</v>
      </c>
      <c r="B68" s="402"/>
      <c r="C68" s="402"/>
      <c r="D68" s="402"/>
      <c r="E68" s="402"/>
      <c r="F68" s="402"/>
      <c r="G68" s="402"/>
      <c r="H68" s="402"/>
      <c r="I68" s="402"/>
      <c r="J68" s="402"/>
      <c r="K68" s="403"/>
      <c r="L68" s="126">
        <v>327406.06</v>
      </c>
      <c r="M68" s="116">
        <v>398515.72</v>
      </c>
      <c r="N68" s="117">
        <f t="shared" si="0"/>
        <v>0.21719103183368071</v>
      </c>
      <c r="O68" s="117">
        <v>4.9286685310838851E-2</v>
      </c>
    </row>
    <row r="69" spans="1:15" ht="18.75" customHeight="1" thickTop="1" thickBot="1">
      <c r="A69" s="388" t="s">
        <v>243</v>
      </c>
      <c r="B69" s="389"/>
      <c r="C69" s="389"/>
      <c r="D69" s="389"/>
      <c r="E69" s="389"/>
      <c r="F69" s="389"/>
      <c r="G69" s="389"/>
      <c r="H69" s="389"/>
      <c r="I69" s="389"/>
      <c r="J69" s="389"/>
      <c r="K69" s="390"/>
      <c r="L69" s="126">
        <v>17989.79</v>
      </c>
      <c r="M69" s="116">
        <v>0</v>
      </c>
      <c r="N69" s="117">
        <v>0</v>
      </c>
      <c r="O69" s="117">
        <v>0</v>
      </c>
    </row>
    <row r="70" spans="1:15" ht="14.25" thickTop="1" thickBot="1">
      <c r="A70" s="395" t="s">
        <v>244</v>
      </c>
      <c r="B70" s="395"/>
      <c r="C70" s="395"/>
      <c r="D70" s="395"/>
      <c r="E70" s="395"/>
      <c r="F70" s="395"/>
      <c r="G70" s="395"/>
      <c r="H70" s="395"/>
      <c r="I70" s="395"/>
      <c r="J70" s="395"/>
      <c r="K70" s="395"/>
      <c r="L70" s="116">
        <v>5569</v>
      </c>
      <c r="M70" s="116">
        <v>27860.400000000001</v>
      </c>
      <c r="N70" s="117">
        <v>0</v>
      </c>
      <c r="O70" s="117">
        <v>1.0128105603106768E-3</v>
      </c>
    </row>
    <row r="71" spans="1:15" ht="14.25" thickTop="1" thickBot="1">
      <c r="A71" s="395" t="s">
        <v>245</v>
      </c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116">
        <v>0</v>
      </c>
      <c r="M71" s="116">
        <v>9600</v>
      </c>
      <c r="N71" s="117">
        <v>0</v>
      </c>
      <c r="O71" s="117">
        <v>8.0950439314675566E-4</v>
      </c>
    </row>
    <row r="72" spans="1:15" ht="14.25" thickTop="1" thickBot="1">
      <c r="A72" s="395" t="s">
        <v>246</v>
      </c>
      <c r="B72" s="395"/>
      <c r="C72" s="395"/>
      <c r="D72" s="395"/>
      <c r="E72" s="395"/>
      <c r="F72" s="395"/>
      <c r="G72" s="395"/>
      <c r="H72" s="395"/>
      <c r="I72" s="395"/>
      <c r="J72" s="395"/>
      <c r="K72" s="395"/>
      <c r="L72" s="116">
        <v>4985.2</v>
      </c>
      <c r="M72" s="116">
        <v>0</v>
      </c>
      <c r="N72" s="117">
        <f t="shared" si="0"/>
        <v>-1</v>
      </c>
      <c r="O72" s="117">
        <v>0</v>
      </c>
    </row>
    <row r="73" spans="1:15" ht="14.25" thickTop="1" thickBot="1">
      <c r="A73" s="395" t="s">
        <v>247</v>
      </c>
      <c r="B73" s="395"/>
      <c r="C73" s="395"/>
      <c r="D73" s="395"/>
      <c r="E73" s="395"/>
      <c r="F73" s="395"/>
      <c r="G73" s="395"/>
      <c r="H73" s="395"/>
      <c r="I73" s="395"/>
      <c r="J73" s="395"/>
      <c r="K73" s="395"/>
      <c r="L73" s="116">
        <v>19655.099999999999</v>
      </c>
      <c r="M73" s="116">
        <v>0</v>
      </c>
      <c r="N73" s="117">
        <f>M73/L73-100%</f>
        <v>-1</v>
      </c>
      <c r="O73" s="117">
        <v>0</v>
      </c>
    </row>
    <row r="74" spans="1:15" ht="12" customHeight="1" thickTop="1" thickBot="1">
      <c r="A74" s="388" t="s">
        <v>248</v>
      </c>
      <c r="B74" s="389"/>
      <c r="C74" s="389"/>
      <c r="D74" s="389"/>
      <c r="E74" s="389"/>
      <c r="F74" s="389"/>
      <c r="G74" s="389"/>
      <c r="H74" s="389"/>
      <c r="I74" s="389"/>
      <c r="J74" s="389"/>
      <c r="K74" s="390"/>
      <c r="L74" s="116">
        <v>3712</v>
      </c>
      <c r="M74" s="116">
        <v>0</v>
      </c>
      <c r="N74" s="117">
        <v>0</v>
      </c>
      <c r="O74" s="117">
        <v>0</v>
      </c>
    </row>
    <row r="75" spans="1:15" ht="14.25" thickTop="1" thickBot="1">
      <c r="A75" s="395" t="s">
        <v>249</v>
      </c>
      <c r="B75" s="395"/>
      <c r="C75" s="395"/>
      <c r="D75" s="395"/>
      <c r="E75" s="395"/>
      <c r="F75" s="395"/>
      <c r="G75" s="395"/>
      <c r="H75" s="395"/>
      <c r="I75" s="395"/>
      <c r="J75" s="395"/>
      <c r="K75" s="395"/>
      <c r="L75" s="116">
        <v>190538.25</v>
      </c>
      <c r="M75" s="116">
        <v>52639.11</v>
      </c>
      <c r="N75" s="117">
        <f>M75/L75-100%</f>
        <v>-0.72373468319353207</v>
      </c>
      <c r="O75" s="117">
        <v>9.0662959141138977E-3</v>
      </c>
    </row>
    <row r="76" spans="1:15" ht="14.25" thickTop="1" thickBot="1">
      <c r="A76" s="395" t="s">
        <v>250</v>
      </c>
      <c r="B76" s="395"/>
      <c r="C76" s="395"/>
      <c r="D76" s="395"/>
      <c r="E76" s="395"/>
      <c r="F76" s="395"/>
      <c r="G76" s="395"/>
      <c r="H76" s="395"/>
      <c r="I76" s="395"/>
      <c r="J76" s="395"/>
      <c r="K76" s="395"/>
      <c r="L76" s="116">
        <v>205255.9</v>
      </c>
      <c r="M76" s="116">
        <v>55322.65</v>
      </c>
      <c r="N76" s="117">
        <f>M76/L76-100%</f>
        <v>-0.73046986712684014</v>
      </c>
      <c r="O76" s="117">
        <v>9.528495365004332E-3</v>
      </c>
    </row>
    <row r="77" spans="1:15" ht="18.75" thickTop="1" thickBot="1">
      <c r="A77" s="398" t="s">
        <v>251</v>
      </c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113">
        <f>SUM(L4:L76)</f>
        <v>9280317.7199999988</v>
      </c>
      <c r="M77" s="113">
        <f>SUM(M4:M76)</f>
        <v>8919095.3600000013</v>
      </c>
      <c r="N77" s="114">
        <f>M77/L77-100%</f>
        <v>-3.8923490649628079E-2</v>
      </c>
      <c r="O77" s="115">
        <v>1</v>
      </c>
    </row>
    <row r="78" spans="1:15" ht="13.5" thickTop="1"/>
  </sheetData>
  <mergeCells count="78">
    <mergeCell ref="A72:K72"/>
    <mergeCell ref="A57:K57"/>
    <mergeCell ref="A58:K58"/>
    <mergeCell ref="A59:K59"/>
    <mergeCell ref="A76:K76"/>
    <mergeCell ref="A77:K77"/>
    <mergeCell ref="A2:O2"/>
    <mergeCell ref="A1:O1"/>
    <mergeCell ref="A66:K66"/>
    <mergeCell ref="A67:K67"/>
    <mergeCell ref="A68:K68"/>
    <mergeCell ref="A70:K70"/>
    <mergeCell ref="A56:K56"/>
    <mergeCell ref="A71:K71"/>
    <mergeCell ref="A64:C64"/>
    <mergeCell ref="A62:K62"/>
    <mergeCell ref="A28:K28"/>
    <mergeCell ref="A74:K74"/>
    <mergeCell ref="A73:K73"/>
    <mergeCell ref="A75:K75"/>
    <mergeCell ref="A48:K48"/>
    <mergeCell ref="A49:K49"/>
    <mergeCell ref="A60:K60"/>
    <mergeCell ref="A61:K61"/>
    <mergeCell ref="A63:K63"/>
    <mergeCell ref="A50:K50"/>
    <mergeCell ref="A51:K51"/>
    <mergeCell ref="A52:K52"/>
    <mergeCell ref="A53:K53"/>
    <mergeCell ref="A54:K54"/>
    <mergeCell ref="A55:K55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16:K16"/>
    <mergeCell ref="A17:K17"/>
    <mergeCell ref="A18:K18"/>
    <mergeCell ref="A19:K19"/>
    <mergeCell ref="A32:K32"/>
    <mergeCell ref="A20:K20"/>
    <mergeCell ref="A21:K21"/>
    <mergeCell ref="A22:K22"/>
    <mergeCell ref="A23:K23"/>
    <mergeCell ref="A24:K24"/>
    <mergeCell ref="A25:K25"/>
    <mergeCell ref="A26:K26"/>
    <mergeCell ref="A27:K27"/>
    <mergeCell ref="A29:K29"/>
    <mergeCell ref="A30:K30"/>
    <mergeCell ref="A31:K31"/>
    <mergeCell ref="S62:Y62"/>
    <mergeCell ref="A69:K69"/>
    <mergeCell ref="A65:K65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A15:K15"/>
  </mergeCells>
  <pageMargins left="0.7" right="0.7" top="0" bottom="0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0"/>
  <sheetViews>
    <sheetView topLeftCell="A25" zoomScaleNormal="100" workbookViewId="0">
      <selection activeCell="F120" sqref="A2:F120"/>
    </sheetView>
  </sheetViews>
  <sheetFormatPr defaultRowHeight="33" customHeight="1"/>
  <cols>
    <col min="1" max="1" width="83" style="315" customWidth="1"/>
    <col min="2" max="2" width="26.140625" style="315" customWidth="1"/>
    <col min="3" max="3" width="18" style="315" customWidth="1"/>
    <col min="4" max="4" width="22" style="315" customWidth="1"/>
    <col min="5" max="5" width="23.42578125" style="315" customWidth="1"/>
    <col min="6" max="6" width="14" style="315" customWidth="1"/>
    <col min="7" max="7" width="6.42578125" hidden="1" customWidth="1"/>
    <col min="11" max="11" width="17" customWidth="1"/>
  </cols>
  <sheetData>
    <row r="1" spans="1:8" s="297" customFormat="1" ht="33" customHeight="1">
      <c r="A1" s="405" t="s">
        <v>252</v>
      </c>
      <c r="B1" s="406"/>
      <c r="C1" s="406"/>
      <c r="D1" s="406"/>
      <c r="E1" s="406"/>
      <c r="F1" s="407"/>
      <c r="G1" s="318"/>
    </row>
    <row r="2" spans="1:8" ht="33" customHeight="1">
      <c r="A2" s="347" t="s">
        <v>253</v>
      </c>
      <c r="B2" s="324" t="s">
        <v>254</v>
      </c>
      <c r="C2" s="324" t="s">
        <v>255</v>
      </c>
      <c r="D2" s="324" t="s">
        <v>256</v>
      </c>
      <c r="E2" s="324" t="s">
        <v>257</v>
      </c>
      <c r="F2" s="324" t="s">
        <v>258</v>
      </c>
      <c r="G2" s="319"/>
      <c r="H2" s="298"/>
    </row>
    <row r="3" spans="1:8" s="224" customFormat="1" ht="33" customHeight="1">
      <c r="A3" s="348" t="s">
        <v>259</v>
      </c>
      <c r="B3" s="342">
        <v>1885627</v>
      </c>
      <c r="C3" s="342"/>
      <c r="D3" s="342">
        <f t="shared" ref="D3:D34" si="0">B3+C3</f>
        <v>1885627</v>
      </c>
      <c r="E3" s="342">
        <v>1047321.77</v>
      </c>
      <c r="F3" s="342">
        <f t="shared" ref="F3:F36" si="1">E3/B3*100</f>
        <v>55.542361771442607</v>
      </c>
      <c r="G3" s="351"/>
      <c r="H3" s="305"/>
    </row>
    <row r="4" spans="1:8" s="2" customFormat="1" ht="33" customHeight="1">
      <c r="A4" s="349" t="s">
        <v>260</v>
      </c>
      <c r="B4" s="343">
        <v>1885627</v>
      </c>
      <c r="C4" s="343"/>
      <c r="D4" s="342">
        <f t="shared" si="0"/>
        <v>1885627</v>
      </c>
      <c r="E4" s="343">
        <v>1047321.77</v>
      </c>
      <c r="F4" s="343">
        <f t="shared" si="1"/>
        <v>55.542361771442607</v>
      </c>
      <c r="G4" s="352"/>
      <c r="H4" s="299"/>
    </row>
    <row r="5" spans="1:8" s="292" customFormat="1" ht="33" customHeight="1">
      <c r="A5" s="348" t="s">
        <v>261</v>
      </c>
      <c r="B5" s="342">
        <v>50000</v>
      </c>
      <c r="C5" s="342"/>
      <c r="D5" s="342">
        <f t="shared" si="0"/>
        <v>50000</v>
      </c>
      <c r="E5" s="342">
        <v>49627.69</v>
      </c>
      <c r="F5" s="342">
        <f t="shared" si="1"/>
        <v>99.255380000000002</v>
      </c>
      <c r="G5" s="351"/>
      <c r="H5" s="306"/>
    </row>
    <row r="6" spans="1:8" s="2" customFormat="1" ht="33" customHeight="1">
      <c r="A6" s="349" t="s">
        <v>262</v>
      </c>
      <c r="B6" s="343">
        <v>50000</v>
      </c>
      <c r="C6" s="343"/>
      <c r="D6" s="342">
        <f t="shared" si="0"/>
        <v>50000</v>
      </c>
      <c r="E6" s="343">
        <v>49627.69</v>
      </c>
      <c r="F6" s="343">
        <f t="shared" si="1"/>
        <v>99.255380000000002</v>
      </c>
      <c r="G6" s="352"/>
      <c r="H6" s="299"/>
    </row>
    <row r="7" spans="1:8" s="224" customFormat="1" ht="33" customHeight="1">
      <c r="A7" s="348" t="s">
        <v>263</v>
      </c>
      <c r="B7" s="342">
        <v>1463575.5</v>
      </c>
      <c r="C7" s="342"/>
      <c r="D7" s="342">
        <f t="shared" si="0"/>
        <v>1463575.5</v>
      </c>
      <c r="E7" s="342">
        <v>749228.19</v>
      </c>
      <c r="F7" s="342">
        <f t="shared" si="1"/>
        <v>51.191632409807355</v>
      </c>
      <c r="G7" s="351"/>
      <c r="H7" s="305"/>
    </row>
    <row r="8" spans="1:8" s="2" customFormat="1" ht="33" customHeight="1">
      <c r="A8" s="349" t="s">
        <v>264</v>
      </c>
      <c r="B8" s="343">
        <v>50000</v>
      </c>
      <c r="C8" s="343">
        <v>0</v>
      </c>
      <c r="D8" s="342">
        <f t="shared" si="0"/>
        <v>50000</v>
      </c>
      <c r="E8" s="343">
        <v>0</v>
      </c>
      <c r="F8" s="343">
        <f t="shared" si="1"/>
        <v>0</v>
      </c>
      <c r="G8" s="352"/>
      <c r="H8" s="299"/>
    </row>
    <row r="9" spans="1:8" s="2" customFormat="1" ht="33" customHeight="1">
      <c r="A9" s="349" t="s">
        <v>265</v>
      </c>
      <c r="B9" s="343">
        <v>6000</v>
      </c>
      <c r="C9" s="343">
        <v>-119.6</v>
      </c>
      <c r="D9" s="342">
        <f t="shared" si="0"/>
        <v>5880.4</v>
      </c>
      <c r="E9" s="343">
        <v>5880.4</v>
      </c>
      <c r="F9" s="343">
        <f t="shared" si="1"/>
        <v>98.006666666666661</v>
      </c>
      <c r="G9" s="352"/>
      <c r="H9" s="299"/>
    </row>
    <row r="10" spans="1:8" s="2" customFormat="1" ht="33" customHeight="1">
      <c r="A10" s="349" t="s">
        <v>266</v>
      </c>
      <c r="B10" s="343">
        <v>40232.43</v>
      </c>
      <c r="C10" s="343"/>
      <c r="D10" s="342">
        <f t="shared" si="0"/>
        <v>40232.43</v>
      </c>
      <c r="E10" s="343">
        <v>39632.43</v>
      </c>
      <c r="F10" s="343">
        <f t="shared" si="1"/>
        <v>98.50866577037479</v>
      </c>
      <c r="G10" s="352"/>
      <c r="H10" s="299"/>
    </row>
    <row r="11" spans="1:8" s="2" customFormat="1" ht="33" customHeight="1">
      <c r="A11" s="349" t="s">
        <v>267</v>
      </c>
      <c r="B11" s="343">
        <v>140000</v>
      </c>
      <c r="C11" s="343"/>
      <c r="D11" s="342">
        <f t="shared" si="0"/>
        <v>140000</v>
      </c>
      <c r="E11" s="343">
        <v>140000</v>
      </c>
      <c r="F11" s="343">
        <f t="shared" si="1"/>
        <v>100</v>
      </c>
      <c r="G11" s="352"/>
      <c r="H11" s="299"/>
    </row>
    <row r="12" spans="1:8" s="2" customFormat="1" ht="37.5" customHeight="1">
      <c r="A12" s="349" t="s">
        <v>268</v>
      </c>
      <c r="B12" s="343">
        <v>25000</v>
      </c>
      <c r="C12" s="343">
        <v>-2658.94</v>
      </c>
      <c r="D12" s="342">
        <f t="shared" si="0"/>
        <v>22341.06</v>
      </c>
      <c r="E12" s="343">
        <v>0</v>
      </c>
      <c r="F12" s="343">
        <f t="shared" si="1"/>
        <v>0</v>
      </c>
      <c r="G12" s="352"/>
      <c r="H12" s="299"/>
    </row>
    <row r="13" spans="1:8" s="2" customFormat="1" ht="39.75" customHeight="1">
      <c r="A13" s="349" t="s">
        <v>269</v>
      </c>
      <c r="B13" s="343">
        <v>35000</v>
      </c>
      <c r="C13" s="343">
        <v>-1044.74</v>
      </c>
      <c r="D13" s="342">
        <f t="shared" si="0"/>
        <v>33955.26</v>
      </c>
      <c r="E13" s="343">
        <v>0</v>
      </c>
      <c r="F13" s="343">
        <f t="shared" si="1"/>
        <v>0</v>
      </c>
      <c r="G13" s="352"/>
      <c r="H13" s="299"/>
    </row>
    <row r="14" spans="1:8" s="2" customFormat="1" ht="33" customHeight="1">
      <c r="A14" s="349" t="s">
        <v>270</v>
      </c>
      <c r="B14" s="343">
        <v>45000</v>
      </c>
      <c r="C14" s="343">
        <v>-2697</v>
      </c>
      <c r="D14" s="342">
        <f t="shared" si="0"/>
        <v>42303</v>
      </c>
      <c r="E14" s="343">
        <v>10822.57</v>
      </c>
      <c r="F14" s="343">
        <f t="shared" si="1"/>
        <v>24.050155555555556</v>
      </c>
      <c r="G14" s="352"/>
      <c r="H14" s="299"/>
    </row>
    <row r="15" spans="1:8" s="2" customFormat="1" ht="33" customHeight="1">
      <c r="A15" s="349" t="s">
        <v>271</v>
      </c>
      <c r="B15" s="343">
        <v>40000</v>
      </c>
      <c r="C15" s="343"/>
      <c r="D15" s="342">
        <f t="shared" si="0"/>
        <v>40000</v>
      </c>
      <c r="E15" s="343">
        <v>0</v>
      </c>
      <c r="F15" s="343">
        <f t="shared" si="1"/>
        <v>0</v>
      </c>
      <c r="G15" s="352"/>
      <c r="H15" s="299"/>
    </row>
    <row r="16" spans="1:8" s="2" customFormat="1" ht="33" customHeight="1">
      <c r="A16" s="349" t="s">
        <v>272</v>
      </c>
      <c r="B16" s="343">
        <v>47834.559999999998</v>
      </c>
      <c r="C16" s="344">
        <v>-4703.5600000000004</v>
      </c>
      <c r="D16" s="342">
        <f t="shared" si="0"/>
        <v>43131</v>
      </c>
      <c r="E16" s="343">
        <v>0</v>
      </c>
      <c r="F16" s="343">
        <f t="shared" si="1"/>
        <v>0</v>
      </c>
      <c r="G16" s="352"/>
      <c r="H16" s="299"/>
    </row>
    <row r="17" spans="1:8" s="2" customFormat="1" ht="33" customHeight="1">
      <c r="A17" s="349" t="s">
        <v>273</v>
      </c>
      <c r="B17" s="343">
        <v>8500</v>
      </c>
      <c r="C17" s="343">
        <v>-150</v>
      </c>
      <c r="D17" s="342">
        <f t="shared" si="0"/>
        <v>8350</v>
      </c>
      <c r="E17" s="343">
        <v>0</v>
      </c>
      <c r="F17" s="343">
        <f t="shared" si="1"/>
        <v>0</v>
      </c>
      <c r="G17" s="352"/>
      <c r="H17" s="299"/>
    </row>
    <row r="18" spans="1:8" s="2" customFormat="1" ht="33" customHeight="1">
      <c r="A18" s="349" t="s">
        <v>274</v>
      </c>
      <c r="B18" s="343">
        <v>100000</v>
      </c>
      <c r="C18" s="343">
        <v>-8114.16</v>
      </c>
      <c r="D18" s="342">
        <f t="shared" si="0"/>
        <v>91885.84</v>
      </c>
      <c r="E18" s="343">
        <v>0</v>
      </c>
      <c r="F18" s="343">
        <f t="shared" si="1"/>
        <v>0</v>
      </c>
      <c r="G18" s="352"/>
      <c r="H18" s="299"/>
    </row>
    <row r="19" spans="1:8" s="2" customFormat="1" ht="33" customHeight="1">
      <c r="A19" s="349" t="s">
        <v>275</v>
      </c>
      <c r="B19" s="343">
        <v>23289.5</v>
      </c>
      <c r="C19" s="343"/>
      <c r="D19" s="342">
        <f t="shared" si="0"/>
        <v>23289.5</v>
      </c>
      <c r="E19" s="343">
        <v>23289.5</v>
      </c>
      <c r="F19" s="343">
        <f t="shared" si="1"/>
        <v>100</v>
      </c>
      <c r="G19" s="352"/>
      <c r="H19" s="299"/>
    </row>
    <row r="20" spans="1:8" s="2" customFormat="1" ht="33" customHeight="1">
      <c r="A20" s="349" t="s">
        <v>276</v>
      </c>
      <c r="B20" s="343">
        <v>34000</v>
      </c>
      <c r="C20" s="343">
        <v>-6035.65</v>
      </c>
      <c r="D20" s="342">
        <f t="shared" si="0"/>
        <v>27964.35</v>
      </c>
      <c r="E20" s="343">
        <v>0</v>
      </c>
      <c r="F20" s="343">
        <f t="shared" si="1"/>
        <v>0</v>
      </c>
      <c r="G20" s="352"/>
      <c r="H20" s="299"/>
    </row>
    <row r="21" spans="1:8" s="2" customFormat="1" ht="33" customHeight="1">
      <c r="A21" s="349" t="s">
        <v>277</v>
      </c>
      <c r="B21" s="343">
        <v>24502.26</v>
      </c>
      <c r="C21" s="343"/>
      <c r="D21" s="342">
        <f t="shared" si="0"/>
        <v>24502.26</v>
      </c>
      <c r="E21" s="343">
        <v>22052.03</v>
      </c>
      <c r="F21" s="343">
        <f t="shared" si="1"/>
        <v>89.999983674975297</v>
      </c>
      <c r="G21" s="352"/>
      <c r="H21" s="299"/>
    </row>
    <row r="22" spans="1:8" s="2" customFormat="1" ht="33" customHeight="1">
      <c r="A22" s="349" t="s">
        <v>278</v>
      </c>
      <c r="B22" s="343">
        <v>27461.200000000001</v>
      </c>
      <c r="C22" s="343"/>
      <c r="D22" s="342">
        <f t="shared" si="0"/>
        <v>27461.200000000001</v>
      </c>
      <c r="E22" s="343">
        <v>24715.08</v>
      </c>
      <c r="F22" s="343">
        <f t="shared" si="1"/>
        <v>90</v>
      </c>
      <c r="G22" s="352"/>
      <c r="H22" s="299"/>
    </row>
    <row r="23" spans="1:8" s="2" customFormat="1" ht="33" customHeight="1">
      <c r="A23" s="349" t="s">
        <v>279</v>
      </c>
      <c r="B23" s="343">
        <v>65000</v>
      </c>
      <c r="C23" s="343"/>
      <c r="D23" s="342">
        <f t="shared" si="0"/>
        <v>65000</v>
      </c>
      <c r="E23" s="343">
        <v>0</v>
      </c>
      <c r="F23" s="343">
        <f t="shared" si="1"/>
        <v>0</v>
      </c>
      <c r="G23" s="352"/>
      <c r="H23" s="299"/>
    </row>
    <row r="24" spans="1:8" s="2" customFormat="1" ht="33" customHeight="1">
      <c r="A24" s="349" t="s">
        <v>280</v>
      </c>
      <c r="B24" s="343">
        <v>100000</v>
      </c>
      <c r="C24" s="343">
        <f>-2228.85-6350.59</f>
        <v>-8579.44</v>
      </c>
      <c r="D24" s="342">
        <f t="shared" si="0"/>
        <v>91420.56</v>
      </c>
      <c r="E24" s="343">
        <v>72000</v>
      </c>
      <c r="F24" s="343">
        <f t="shared" si="1"/>
        <v>72</v>
      </c>
      <c r="G24" s="352"/>
      <c r="H24" s="299"/>
    </row>
    <row r="25" spans="1:8" s="2" customFormat="1" ht="33" customHeight="1">
      <c r="A25" s="349" t="s">
        <v>281</v>
      </c>
      <c r="B25" s="343">
        <v>41564.5</v>
      </c>
      <c r="C25" s="343"/>
      <c r="D25" s="342">
        <f t="shared" si="0"/>
        <v>41564.5</v>
      </c>
      <c r="E25" s="343">
        <v>32072.2</v>
      </c>
      <c r="F25" s="343">
        <f t="shared" si="1"/>
        <v>77.162482406861628</v>
      </c>
      <c r="G25" s="352"/>
      <c r="H25" s="299"/>
    </row>
    <row r="26" spans="1:8" s="2" customFormat="1" ht="33" customHeight="1">
      <c r="A26" s="349" t="s">
        <v>282</v>
      </c>
      <c r="B26" s="343">
        <v>35169.599999999999</v>
      </c>
      <c r="C26" s="343"/>
      <c r="D26" s="342">
        <f t="shared" si="0"/>
        <v>35169.599999999999</v>
      </c>
      <c r="E26" s="343">
        <v>31652.639999999999</v>
      </c>
      <c r="F26" s="343">
        <f t="shared" si="1"/>
        <v>90</v>
      </c>
      <c r="G26" s="352"/>
      <c r="H26" s="299"/>
    </row>
    <row r="27" spans="1:8" s="2" customFormat="1" ht="33" customHeight="1">
      <c r="A27" s="349" t="s">
        <v>283</v>
      </c>
      <c r="B27" s="343">
        <v>19844.72</v>
      </c>
      <c r="C27" s="343"/>
      <c r="D27" s="342">
        <f t="shared" si="0"/>
        <v>19844.72</v>
      </c>
      <c r="E27" s="343">
        <v>9004.2000000000007</v>
      </c>
      <c r="F27" s="343">
        <f t="shared" si="1"/>
        <v>45.373278131412285</v>
      </c>
      <c r="G27" s="352"/>
      <c r="H27" s="299"/>
    </row>
    <row r="28" spans="1:8" s="2" customFormat="1" ht="33" customHeight="1">
      <c r="A28" s="349" t="s">
        <v>284</v>
      </c>
      <c r="B28" s="343">
        <v>30435.599999999999</v>
      </c>
      <c r="C28" s="343"/>
      <c r="D28" s="342">
        <f t="shared" si="0"/>
        <v>30435.599999999999</v>
      </c>
      <c r="E28" s="343">
        <v>27342.54</v>
      </c>
      <c r="F28" s="343">
        <f t="shared" si="1"/>
        <v>89.837361510862294</v>
      </c>
      <c r="G28" s="352"/>
      <c r="H28" s="299"/>
    </row>
    <row r="29" spans="1:8" s="2" customFormat="1" ht="33" customHeight="1">
      <c r="A29" s="349" t="s">
        <v>285</v>
      </c>
      <c r="B29" s="343">
        <v>41000</v>
      </c>
      <c r="C29" s="343">
        <v>-10799.41</v>
      </c>
      <c r="D29" s="342">
        <f t="shared" si="0"/>
        <v>30200.59</v>
      </c>
      <c r="E29" s="343">
        <v>0</v>
      </c>
      <c r="F29" s="343">
        <f t="shared" si="1"/>
        <v>0</v>
      </c>
      <c r="G29" s="352"/>
      <c r="H29" s="299"/>
    </row>
    <row r="30" spans="1:8" s="2" customFormat="1" ht="33" customHeight="1">
      <c r="A30" s="349" t="s">
        <v>286</v>
      </c>
      <c r="B30" s="343">
        <v>18874.599999999999</v>
      </c>
      <c r="C30" s="343"/>
      <c r="D30" s="342">
        <f t="shared" si="0"/>
        <v>18874.599999999999</v>
      </c>
      <c r="E30" s="343">
        <v>18874.599999999999</v>
      </c>
      <c r="F30" s="343">
        <f t="shared" si="1"/>
        <v>100</v>
      </c>
      <c r="G30" s="352"/>
      <c r="H30" s="299"/>
    </row>
    <row r="31" spans="1:8" s="2" customFormat="1" ht="33" customHeight="1">
      <c r="A31" s="349" t="s">
        <v>287</v>
      </c>
      <c r="B31" s="343">
        <v>33959.39</v>
      </c>
      <c r="C31" s="343"/>
      <c r="D31" s="342">
        <f t="shared" si="0"/>
        <v>33959.39</v>
      </c>
      <c r="E31" s="343">
        <v>0</v>
      </c>
      <c r="F31" s="343">
        <f t="shared" si="1"/>
        <v>0</v>
      </c>
      <c r="G31" s="352"/>
      <c r="H31" s="299"/>
    </row>
    <row r="32" spans="1:8" s="2" customFormat="1" ht="33" customHeight="1">
      <c r="A32" s="349" t="s">
        <v>288</v>
      </c>
      <c r="B32" s="343">
        <v>3798</v>
      </c>
      <c r="C32" s="343"/>
      <c r="D32" s="342">
        <f t="shared" si="0"/>
        <v>3798</v>
      </c>
      <c r="E32" s="343">
        <v>0</v>
      </c>
      <c r="F32" s="343">
        <f t="shared" si="1"/>
        <v>0</v>
      </c>
      <c r="G32" s="352"/>
      <c r="H32" s="299"/>
    </row>
    <row r="33" spans="1:8" s="2" customFormat="1" ht="33" customHeight="1">
      <c r="A33" s="349" t="s">
        <v>289</v>
      </c>
      <c r="B33" s="343">
        <v>65000</v>
      </c>
      <c r="C33" s="343">
        <v>-65000</v>
      </c>
      <c r="D33" s="342">
        <f t="shared" si="0"/>
        <v>0</v>
      </c>
      <c r="E33" s="343">
        <v>0</v>
      </c>
      <c r="F33" s="343">
        <f t="shared" si="1"/>
        <v>0</v>
      </c>
      <c r="G33" s="352"/>
      <c r="H33" s="299"/>
    </row>
    <row r="34" spans="1:8" s="2" customFormat="1" ht="33" customHeight="1">
      <c r="A34" s="349" t="s">
        <v>290</v>
      </c>
      <c r="B34" s="343">
        <v>45373.94</v>
      </c>
      <c r="C34" s="343"/>
      <c r="D34" s="342">
        <f t="shared" si="0"/>
        <v>45373.94</v>
      </c>
      <c r="E34" s="343">
        <v>0</v>
      </c>
      <c r="F34" s="343">
        <f t="shared" si="1"/>
        <v>0</v>
      </c>
      <c r="G34" s="352"/>
      <c r="H34" s="299"/>
    </row>
    <row r="35" spans="1:8" s="2" customFormat="1" ht="33" customHeight="1">
      <c r="A35" s="349" t="s">
        <v>291</v>
      </c>
      <c r="B35" s="343">
        <v>291890</v>
      </c>
      <c r="C35" s="343"/>
      <c r="D35" s="342">
        <f t="shared" ref="D35:D54" si="2">B35+C35</f>
        <v>291890</v>
      </c>
      <c r="E35" s="343">
        <v>291890</v>
      </c>
      <c r="F35" s="343">
        <f t="shared" si="1"/>
        <v>100</v>
      </c>
      <c r="G35" s="352"/>
      <c r="H35" s="299"/>
    </row>
    <row r="36" spans="1:8" s="2" customFormat="1" ht="33" customHeight="1">
      <c r="A36" s="349" t="s">
        <v>292</v>
      </c>
      <c r="B36" s="343">
        <v>24845.200000000001</v>
      </c>
      <c r="C36" s="343">
        <v>-700</v>
      </c>
      <c r="D36" s="342">
        <f t="shared" si="2"/>
        <v>24145.200000000001</v>
      </c>
      <c r="E36" s="343">
        <v>0</v>
      </c>
      <c r="F36" s="343">
        <f t="shared" si="1"/>
        <v>0</v>
      </c>
      <c r="G36" s="352"/>
      <c r="H36" s="299"/>
    </row>
    <row r="37" spans="1:8" s="2" customFormat="1" ht="33" customHeight="1">
      <c r="A37" s="356" t="s">
        <v>293</v>
      </c>
      <c r="B37" s="343"/>
      <c r="C37" s="343">
        <v>5000</v>
      </c>
      <c r="D37" s="342">
        <f t="shared" si="2"/>
        <v>5000</v>
      </c>
      <c r="E37" s="343"/>
      <c r="F37" s="343"/>
      <c r="G37" s="352"/>
      <c r="H37" s="299"/>
    </row>
    <row r="38" spans="1:8" s="2" customFormat="1" ht="33" customHeight="1">
      <c r="A38" s="356" t="s">
        <v>294</v>
      </c>
      <c r="B38" s="343"/>
      <c r="C38" s="343">
        <v>8000</v>
      </c>
      <c r="D38" s="342">
        <f t="shared" si="2"/>
        <v>8000</v>
      </c>
      <c r="E38" s="343"/>
      <c r="F38" s="343"/>
      <c r="G38" s="352"/>
      <c r="H38" s="299"/>
    </row>
    <row r="39" spans="1:8" s="2" customFormat="1" ht="33" customHeight="1">
      <c r="A39" s="356" t="s">
        <v>295</v>
      </c>
      <c r="B39" s="343"/>
      <c r="C39" s="343">
        <v>6500</v>
      </c>
      <c r="D39" s="342">
        <f t="shared" si="2"/>
        <v>6500</v>
      </c>
      <c r="E39" s="343"/>
      <c r="F39" s="343"/>
      <c r="G39" s="352"/>
      <c r="H39" s="299"/>
    </row>
    <row r="40" spans="1:8" s="2" customFormat="1" ht="33" customHeight="1">
      <c r="A40" s="356" t="s">
        <v>296</v>
      </c>
      <c r="B40" s="343"/>
      <c r="C40" s="343">
        <v>8102.5</v>
      </c>
      <c r="D40" s="342">
        <f t="shared" si="2"/>
        <v>8102.5</v>
      </c>
      <c r="E40" s="343"/>
      <c r="F40" s="343"/>
      <c r="G40" s="352"/>
      <c r="H40" s="299"/>
    </row>
    <row r="41" spans="1:8" s="224" customFormat="1" ht="33" customHeight="1">
      <c r="A41" s="348" t="s">
        <v>297</v>
      </c>
      <c r="B41" s="342">
        <v>20000</v>
      </c>
      <c r="C41" s="342"/>
      <c r="D41" s="342">
        <f t="shared" si="2"/>
        <v>20000</v>
      </c>
      <c r="E41" s="342">
        <v>17735.099999999999</v>
      </c>
      <c r="F41" s="342">
        <f t="shared" ref="F41:F48" si="3">E41/B41*100</f>
        <v>88.6755</v>
      </c>
      <c r="G41" s="351"/>
      <c r="H41" s="305"/>
    </row>
    <row r="42" spans="1:8" s="2" customFormat="1" ht="33" customHeight="1">
      <c r="A42" s="349" t="s">
        <v>298</v>
      </c>
      <c r="B42" s="343">
        <v>20000</v>
      </c>
      <c r="C42" s="343"/>
      <c r="D42" s="342">
        <f t="shared" si="2"/>
        <v>20000</v>
      </c>
      <c r="E42" s="343">
        <v>17735.099999999999</v>
      </c>
      <c r="F42" s="343">
        <f t="shared" si="3"/>
        <v>88.6755</v>
      </c>
      <c r="G42" s="352"/>
      <c r="H42" s="299"/>
    </row>
    <row r="43" spans="1:8" s="224" customFormat="1" ht="33" customHeight="1">
      <c r="A43" s="348" t="s">
        <v>299</v>
      </c>
      <c r="B43" s="342">
        <v>5000</v>
      </c>
      <c r="C43" s="342"/>
      <c r="D43" s="342">
        <f t="shared" si="2"/>
        <v>5000</v>
      </c>
      <c r="E43" s="342">
        <v>0</v>
      </c>
      <c r="F43" s="342">
        <f t="shared" si="3"/>
        <v>0</v>
      </c>
      <c r="G43" s="351"/>
      <c r="H43" s="305"/>
    </row>
    <row r="44" spans="1:8" s="2" customFormat="1" ht="33" customHeight="1">
      <c r="A44" s="349" t="s">
        <v>300</v>
      </c>
      <c r="B44" s="343">
        <v>5000</v>
      </c>
      <c r="C44" s="343"/>
      <c r="D44" s="342">
        <f t="shared" si="2"/>
        <v>5000</v>
      </c>
      <c r="E44" s="343">
        <v>0</v>
      </c>
      <c r="F44" s="343">
        <f t="shared" si="3"/>
        <v>0</v>
      </c>
      <c r="G44" s="352"/>
      <c r="H44" s="299"/>
    </row>
    <row r="45" spans="1:8" s="224" customFormat="1" ht="33" customHeight="1">
      <c r="A45" s="348" t="s">
        <v>301</v>
      </c>
      <c r="B45" s="342">
        <v>121014.47</v>
      </c>
      <c r="C45" s="342"/>
      <c r="D45" s="342">
        <f t="shared" si="2"/>
        <v>121014.47</v>
      </c>
      <c r="E45" s="342">
        <v>108461.89</v>
      </c>
      <c r="F45" s="342">
        <f t="shared" si="3"/>
        <v>89.627207390983898</v>
      </c>
      <c r="G45" s="351"/>
      <c r="H45" s="305"/>
    </row>
    <row r="46" spans="1:8" s="2" customFormat="1" ht="33" customHeight="1">
      <c r="A46" s="349" t="s">
        <v>302</v>
      </c>
      <c r="B46" s="343">
        <v>58334.07</v>
      </c>
      <c r="C46" s="343"/>
      <c r="D46" s="342">
        <f t="shared" si="2"/>
        <v>58334.07</v>
      </c>
      <c r="E46" s="343">
        <v>58334.07</v>
      </c>
      <c r="F46" s="343">
        <f t="shared" si="3"/>
        <v>100</v>
      </c>
      <c r="G46" s="352"/>
      <c r="H46" s="299"/>
    </row>
    <row r="47" spans="1:8" s="2" customFormat="1" ht="33" customHeight="1">
      <c r="A47" s="349" t="s">
        <v>303</v>
      </c>
      <c r="B47" s="343">
        <v>12552.58</v>
      </c>
      <c r="C47" s="343"/>
      <c r="D47" s="342">
        <f t="shared" si="2"/>
        <v>12552.58</v>
      </c>
      <c r="E47" s="343">
        <v>0</v>
      </c>
      <c r="F47" s="343">
        <f t="shared" si="3"/>
        <v>0</v>
      </c>
      <c r="G47" s="352"/>
      <c r="H47" s="299"/>
    </row>
    <row r="48" spans="1:8" s="2" customFormat="1" ht="33" customHeight="1">
      <c r="A48" s="349" t="s">
        <v>304</v>
      </c>
      <c r="B48" s="343">
        <v>50127.82</v>
      </c>
      <c r="C48" s="343"/>
      <c r="D48" s="342">
        <f t="shared" si="2"/>
        <v>50127.82</v>
      </c>
      <c r="E48" s="343">
        <v>50127.82</v>
      </c>
      <c r="F48" s="343">
        <f t="shared" si="3"/>
        <v>100</v>
      </c>
      <c r="G48" s="352"/>
      <c r="H48" s="299"/>
    </row>
    <row r="49" spans="1:8" s="2" customFormat="1" ht="33" customHeight="1">
      <c r="A49" s="356" t="s">
        <v>305</v>
      </c>
      <c r="B49" s="343"/>
      <c r="C49" s="343">
        <v>18000</v>
      </c>
      <c r="D49" s="342">
        <f t="shared" si="2"/>
        <v>18000</v>
      </c>
      <c r="E49" s="343"/>
      <c r="F49" s="343"/>
      <c r="G49" s="352"/>
      <c r="H49" s="299"/>
    </row>
    <row r="50" spans="1:8" s="224" customFormat="1" ht="33" customHeight="1">
      <c r="A50" s="348" t="s">
        <v>306</v>
      </c>
      <c r="B50" s="342">
        <v>226037.03</v>
      </c>
      <c r="C50" s="342"/>
      <c r="D50" s="342">
        <f t="shared" si="2"/>
        <v>226037.03</v>
      </c>
      <c r="E50" s="342">
        <v>122268.9</v>
      </c>
      <c r="F50" s="342">
        <f>E50/B50*100</f>
        <v>54.092420166731081</v>
      </c>
      <c r="G50" s="351"/>
      <c r="H50" s="305"/>
    </row>
    <row r="51" spans="1:8" s="2" customFormat="1" ht="33" customHeight="1">
      <c r="A51" s="349" t="s">
        <v>307</v>
      </c>
      <c r="B51" s="343">
        <v>20000</v>
      </c>
      <c r="C51" s="343"/>
      <c r="D51" s="342">
        <f t="shared" si="2"/>
        <v>20000</v>
      </c>
      <c r="E51" s="343">
        <v>0</v>
      </c>
      <c r="F51" s="343">
        <f>E51/B51*100</f>
        <v>0</v>
      </c>
      <c r="G51" s="352"/>
      <c r="H51" s="299"/>
    </row>
    <row r="52" spans="1:8" s="2" customFormat="1" ht="33" customHeight="1">
      <c r="A52" s="349" t="s">
        <v>308</v>
      </c>
      <c r="B52" s="343">
        <v>152000</v>
      </c>
      <c r="C52" s="343"/>
      <c r="D52" s="342">
        <f t="shared" si="2"/>
        <v>152000</v>
      </c>
      <c r="E52" s="343">
        <v>69510.240000000005</v>
      </c>
      <c r="F52" s="343">
        <f>E52/B52*100</f>
        <v>45.730421052631584</v>
      </c>
      <c r="G52" s="352"/>
      <c r="H52" s="299"/>
    </row>
    <row r="53" spans="1:8" s="2" customFormat="1" ht="33" customHeight="1">
      <c r="A53" s="349" t="s">
        <v>309</v>
      </c>
      <c r="B53" s="343">
        <v>12371.5</v>
      </c>
      <c r="C53" s="343"/>
      <c r="D53" s="342">
        <f t="shared" si="2"/>
        <v>12371.5</v>
      </c>
      <c r="E53" s="343">
        <v>11293.41</v>
      </c>
      <c r="F53" s="343">
        <f>E53/B53*100</f>
        <v>91.28569696479812</v>
      </c>
      <c r="G53" s="352"/>
      <c r="H53" s="299"/>
    </row>
    <row r="54" spans="1:8" s="2" customFormat="1" ht="33" customHeight="1">
      <c r="A54" s="349" t="s">
        <v>310</v>
      </c>
      <c r="B54" s="343">
        <v>41665.53</v>
      </c>
      <c r="C54" s="343"/>
      <c r="D54" s="342">
        <f t="shared" si="2"/>
        <v>41665.53</v>
      </c>
      <c r="E54" s="343">
        <v>41465.25</v>
      </c>
      <c r="F54" s="343">
        <f>E54/B54*100</f>
        <v>99.519314886910109</v>
      </c>
      <c r="G54" s="352"/>
      <c r="H54" s="299"/>
    </row>
    <row r="55" spans="1:8" s="2" customFormat="1" ht="33" customHeight="1">
      <c r="A55" s="356" t="s">
        <v>311</v>
      </c>
      <c r="B55" s="343"/>
      <c r="C55" s="343">
        <v>65000</v>
      </c>
      <c r="D55" s="342"/>
      <c r="E55" s="343"/>
      <c r="F55" s="343"/>
      <c r="G55" s="352"/>
      <c r="H55" s="299"/>
    </row>
    <row r="56" spans="1:8" s="224" customFormat="1" ht="33" customHeight="1">
      <c r="A56" s="348" t="s">
        <v>312</v>
      </c>
      <c r="B56" s="342">
        <v>1194212.53</v>
      </c>
      <c r="C56" s="342"/>
      <c r="D56" s="342">
        <f t="shared" ref="D56:D87" si="4">B56+C56</f>
        <v>1194212.53</v>
      </c>
      <c r="E56" s="342">
        <v>368644.89</v>
      </c>
      <c r="F56" s="342">
        <f t="shared" ref="F56:F75" si="5">E56/B56*100</f>
        <v>30.869286725705347</v>
      </c>
      <c r="G56" s="351"/>
      <c r="H56" s="305"/>
    </row>
    <row r="57" spans="1:8" s="224" customFormat="1" ht="33" customHeight="1">
      <c r="A57" s="349" t="s">
        <v>260</v>
      </c>
      <c r="B57" s="343">
        <v>1194212.53</v>
      </c>
      <c r="C57" s="343"/>
      <c r="D57" s="342">
        <f t="shared" si="4"/>
        <v>1194212.53</v>
      </c>
      <c r="E57" s="343">
        <v>368644.89</v>
      </c>
      <c r="F57" s="343">
        <f t="shared" si="5"/>
        <v>30.869286725705347</v>
      </c>
      <c r="G57" s="353"/>
      <c r="H57" s="305"/>
    </row>
    <row r="58" spans="1:8" s="224" customFormat="1" ht="33" customHeight="1">
      <c r="A58" s="348" t="s">
        <v>263</v>
      </c>
      <c r="B58" s="342">
        <v>829242.69</v>
      </c>
      <c r="C58" s="342"/>
      <c r="D58" s="342">
        <f t="shared" si="4"/>
        <v>829242.69</v>
      </c>
      <c r="E58" s="342">
        <v>292108</v>
      </c>
      <c r="F58" s="342">
        <f t="shared" si="5"/>
        <v>35.225875792767013</v>
      </c>
      <c r="G58" s="351"/>
      <c r="H58" s="305"/>
    </row>
    <row r="59" spans="1:8" s="2" customFormat="1" ht="33" customHeight="1">
      <c r="A59" s="349" t="s">
        <v>313</v>
      </c>
      <c r="B59" s="343">
        <v>32611.25</v>
      </c>
      <c r="C59" s="343"/>
      <c r="D59" s="342">
        <f t="shared" si="4"/>
        <v>32611.25</v>
      </c>
      <c r="E59" s="343">
        <v>27356.16</v>
      </c>
      <c r="F59" s="343">
        <f t="shared" si="5"/>
        <v>83.885652957185016</v>
      </c>
      <c r="G59" s="352"/>
      <c r="H59" s="299"/>
    </row>
    <row r="60" spans="1:8" s="2" customFormat="1" ht="33" customHeight="1">
      <c r="A60" s="349" t="s">
        <v>314</v>
      </c>
      <c r="B60" s="343">
        <v>10000</v>
      </c>
      <c r="C60" s="343"/>
      <c r="D60" s="342">
        <f t="shared" si="4"/>
        <v>10000</v>
      </c>
      <c r="E60" s="343">
        <v>2500.75</v>
      </c>
      <c r="F60" s="343">
        <f t="shared" si="5"/>
        <v>25.0075</v>
      </c>
      <c r="G60" s="352"/>
      <c r="H60" s="299"/>
    </row>
    <row r="61" spans="1:8" s="2" customFormat="1" ht="33" customHeight="1">
      <c r="A61" s="349" t="s">
        <v>264</v>
      </c>
      <c r="B61" s="343">
        <v>50000</v>
      </c>
      <c r="C61" s="343"/>
      <c r="D61" s="342">
        <f t="shared" si="4"/>
        <v>50000</v>
      </c>
      <c r="E61" s="343">
        <v>4900</v>
      </c>
      <c r="F61" s="343">
        <f t="shared" si="5"/>
        <v>9.8000000000000007</v>
      </c>
      <c r="G61" s="352"/>
      <c r="H61" s="299"/>
    </row>
    <row r="62" spans="1:8" s="2" customFormat="1" ht="33" customHeight="1">
      <c r="A62" s="349" t="s">
        <v>265</v>
      </c>
      <c r="B62" s="343">
        <v>14000</v>
      </c>
      <c r="C62" s="343">
        <v>-14000</v>
      </c>
      <c r="D62" s="342">
        <f t="shared" si="4"/>
        <v>0</v>
      </c>
      <c r="E62" s="343">
        <v>0</v>
      </c>
      <c r="F62" s="343">
        <f t="shared" si="5"/>
        <v>0</v>
      </c>
      <c r="G62" s="352"/>
      <c r="H62" s="299"/>
    </row>
    <row r="63" spans="1:8" s="2" customFormat="1" ht="33" customHeight="1">
      <c r="A63" s="349" t="s">
        <v>315</v>
      </c>
      <c r="B63" s="343">
        <v>54640</v>
      </c>
      <c r="C63" s="343"/>
      <c r="D63" s="342">
        <f t="shared" si="4"/>
        <v>54640</v>
      </c>
      <c r="E63" s="343">
        <v>54637.91</v>
      </c>
      <c r="F63" s="343">
        <f t="shared" si="5"/>
        <v>99.996174963396783</v>
      </c>
      <c r="G63" s="352"/>
      <c r="H63" s="299"/>
    </row>
    <row r="64" spans="1:8" s="2" customFormat="1" ht="33" customHeight="1">
      <c r="A64" s="349" t="s">
        <v>316</v>
      </c>
      <c r="B64" s="343">
        <v>100000</v>
      </c>
      <c r="C64" s="343"/>
      <c r="D64" s="342">
        <f t="shared" si="4"/>
        <v>100000</v>
      </c>
      <c r="E64" s="343">
        <v>84237.52</v>
      </c>
      <c r="F64" s="343">
        <f t="shared" si="5"/>
        <v>84.237520000000004</v>
      </c>
      <c r="G64" s="352"/>
      <c r="H64" s="299"/>
    </row>
    <row r="65" spans="1:8" s="2" customFormat="1" ht="33" customHeight="1">
      <c r="A65" s="349" t="s">
        <v>267</v>
      </c>
      <c r="B65" s="343">
        <v>35000</v>
      </c>
      <c r="C65" s="343"/>
      <c r="D65" s="342">
        <f t="shared" si="4"/>
        <v>35000</v>
      </c>
      <c r="E65" s="343">
        <v>0</v>
      </c>
      <c r="F65" s="343">
        <f t="shared" si="5"/>
        <v>0</v>
      </c>
      <c r="G65" s="352"/>
      <c r="H65" s="299"/>
    </row>
    <row r="66" spans="1:8" s="2" customFormat="1" ht="33" customHeight="1">
      <c r="A66" s="349" t="s">
        <v>317</v>
      </c>
      <c r="B66" s="343">
        <v>150000</v>
      </c>
      <c r="C66" s="343"/>
      <c r="D66" s="342">
        <f t="shared" si="4"/>
        <v>150000</v>
      </c>
      <c r="E66" s="343">
        <v>0</v>
      </c>
      <c r="F66" s="343">
        <f t="shared" si="5"/>
        <v>0</v>
      </c>
      <c r="G66" s="352"/>
      <c r="H66" s="299"/>
    </row>
    <row r="67" spans="1:8" s="2" customFormat="1" ht="33" customHeight="1">
      <c r="A67" s="349" t="s">
        <v>270</v>
      </c>
      <c r="B67" s="343">
        <v>6411</v>
      </c>
      <c r="C67" s="343">
        <f>-4411-2000</f>
        <v>-6411</v>
      </c>
      <c r="D67" s="342">
        <f t="shared" si="4"/>
        <v>0</v>
      </c>
      <c r="E67" s="343">
        <v>0</v>
      </c>
      <c r="F67" s="343">
        <f t="shared" si="5"/>
        <v>0</v>
      </c>
      <c r="G67" s="352"/>
      <c r="H67" s="299"/>
    </row>
    <row r="68" spans="1:8" s="2" customFormat="1" ht="33" customHeight="1">
      <c r="A68" s="349" t="s">
        <v>274</v>
      </c>
      <c r="B68" s="343">
        <v>141000</v>
      </c>
      <c r="C68" s="343"/>
      <c r="D68" s="342">
        <f t="shared" si="4"/>
        <v>141000</v>
      </c>
      <c r="E68" s="343">
        <v>0</v>
      </c>
      <c r="F68" s="343">
        <f t="shared" si="5"/>
        <v>0</v>
      </c>
      <c r="G68" s="352"/>
      <c r="H68" s="299"/>
    </row>
    <row r="69" spans="1:8" s="2" customFormat="1" ht="33" customHeight="1">
      <c r="A69" s="349" t="s">
        <v>275</v>
      </c>
      <c r="B69" s="343">
        <v>10000</v>
      </c>
      <c r="C69" s="343"/>
      <c r="D69" s="342">
        <f t="shared" si="4"/>
        <v>10000</v>
      </c>
      <c r="E69" s="343">
        <v>4211.53</v>
      </c>
      <c r="F69" s="343">
        <f t="shared" si="5"/>
        <v>42.115299999999998</v>
      </c>
      <c r="G69" s="352"/>
      <c r="H69" s="299"/>
    </row>
    <row r="70" spans="1:8" s="2" customFormat="1" ht="33" customHeight="1">
      <c r="A70" s="349" t="s">
        <v>280</v>
      </c>
      <c r="B70" s="343">
        <v>15000</v>
      </c>
      <c r="C70" s="343">
        <v>-15000</v>
      </c>
      <c r="D70" s="342">
        <f t="shared" si="4"/>
        <v>0</v>
      </c>
      <c r="E70" s="343">
        <v>0</v>
      </c>
      <c r="F70" s="343">
        <f t="shared" si="5"/>
        <v>0</v>
      </c>
      <c r="G70" s="352"/>
      <c r="H70" s="299"/>
    </row>
    <row r="71" spans="1:8" s="2" customFormat="1" ht="33" customHeight="1">
      <c r="A71" s="349" t="s">
        <v>318</v>
      </c>
      <c r="B71" s="343">
        <v>20000</v>
      </c>
      <c r="C71" s="343"/>
      <c r="D71" s="342">
        <f t="shared" si="4"/>
        <v>20000</v>
      </c>
      <c r="E71" s="343">
        <v>10000</v>
      </c>
      <c r="F71" s="343">
        <f t="shared" si="5"/>
        <v>50</v>
      </c>
      <c r="G71" s="352"/>
      <c r="H71" s="299"/>
    </row>
    <row r="72" spans="1:8" s="2" customFormat="1" ht="33" customHeight="1">
      <c r="A72" s="349" t="s">
        <v>319</v>
      </c>
      <c r="B72" s="343">
        <v>46948.44</v>
      </c>
      <c r="C72" s="343"/>
      <c r="D72" s="342">
        <f t="shared" si="4"/>
        <v>46948.44</v>
      </c>
      <c r="E72" s="343">
        <v>21980</v>
      </c>
      <c r="F72" s="343">
        <f t="shared" si="5"/>
        <v>46.817317039714204</v>
      </c>
      <c r="G72" s="352"/>
      <c r="H72" s="299"/>
    </row>
    <row r="73" spans="1:8" s="2" customFormat="1" ht="33" customHeight="1">
      <c r="A73" s="349" t="s">
        <v>288</v>
      </c>
      <c r="B73" s="343">
        <v>10000</v>
      </c>
      <c r="C73" s="343"/>
      <c r="D73" s="342">
        <f t="shared" si="4"/>
        <v>10000</v>
      </c>
      <c r="E73" s="343">
        <v>0</v>
      </c>
      <c r="F73" s="343">
        <f t="shared" si="5"/>
        <v>0</v>
      </c>
      <c r="G73" s="352"/>
      <c r="H73" s="299"/>
    </row>
    <row r="74" spans="1:8" s="2" customFormat="1" ht="33" customHeight="1">
      <c r="A74" s="349" t="s">
        <v>320</v>
      </c>
      <c r="B74" s="343">
        <v>40000</v>
      </c>
      <c r="C74" s="343">
        <v>-406.92</v>
      </c>
      <c r="D74" s="342">
        <f t="shared" si="4"/>
        <v>39593.08</v>
      </c>
      <c r="E74" s="343">
        <v>0</v>
      </c>
      <c r="F74" s="343">
        <f t="shared" si="5"/>
        <v>0</v>
      </c>
      <c r="G74" s="352"/>
      <c r="H74" s="299"/>
    </row>
    <row r="75" spans="1:8" s="2" customFormat="1" ht="33" customHeight="1">
      <c r="A75" s="349" t="s">
        <v>321</v>
      </c>
      <c r="B75" s="343">
        <v>93632</v>
      </c>
      <c r="C75" s="343"/>
      <c r="D75" s="342">
        <f t="shared" si="4"/>
        <v>93632</v>
      </c>
      <c r="E75" s="343">
        <v>82284.13</v>
      </c>
      <c r="F75" s="343">
        <f t="shared" si="5"/>
        <v>87.880350734791534</v>
      </c>
      <c r="G75" s="352"/>
      <c r="H75" s="299"/>
    </row>
    <row r="76" spans="1:8" s="2" customFormat="1" ht="33" customHeight="1">
      <c r="A76" s="350" t="s">
        <v>293</v>
      </c>
      <c r="B76" s="343"/>
      <c r="C76" s="343">
        <v>5000</v>
      </c>
      <c r="D76" s="342">
        <f t="shared" si="4"/>
        <v>5000</v>
      </c>
      <c r="E76" s="343"/>
      <c r="F76" s="343"/>
      <c r="G76" s="352"/>
      <c r="H76" s="299"/>
    </row>
    <row r="77" spans="1:8" s="2" customFormat="1" ht="33" customHeight="1">
      <c r="A77" s="350" t="s">
        <v>322</v>
      </c>
      <c r="B77" s="345"/>
      <c r="C77" s="343">
        <v>15000</v>
      </c>
      <c r="D77" s="342">
        <f t="shared" si="4"/>
        <v>15000</v>
      </c>
      <c r="E77" s="345"/>
      <c r="F77" s="345"/>
      <c r="G77" s="352"/>
      <c r="H77" s="299"/>
    </row>
    <row r="78" spans="1:8" s="2" customFormat="1" ht="33" customHeight="1">
      <c r="A78" s="350" t="s">
        <v>323</v>
      </c>
      <c r="B78" s="343"/>
      <c r="C78" s="343">
        <v>10000</v>
      </c>
      <c r="D78" s="342">
        <f t="shared" si="4"/>
        <v>10000</v>
      </c>
      <c r="E78" s="343"/>
      <c r="F78" s="343"/>
      <c r="G78" s="352"/>
      <c r="H78" s="299"/>
    </row>
    <row r="79" spans="1:8" s="2" customFormat="1" ht="33" customHeight="1">
      <c r="A79" s="350" t="s">
        <v>294</v>
      </c>
      <c r="B79" s="343"/>
      <c r="C79" s="343">
        <v>3000</v>
      </c>
      <c r="D79" s="342">
        <f t="shared" si="4"/>
        <v>3000</v>
      </c>
      <c r="E79" s="343"/>
      <c r="F79" s="343"/>
      <c r="G79" s="352"/>
      <c r="H79" s="299"/>
    </row>
    <row r="80" spans="1:8" s="2" customFormat="1" ht="33" customHeight="1">
      <c r="A80" s="350" t="s">
        <v>296</v>
      </c>
      <c r="B80" s="343"/>
      <c r="C80" s="343">
        <v>817.92</v>
      </c>
      <c r="D80" s="342">
        <f t="shared" si="4"/>
        <v>817.92</v>
      </c>
      <c r="E80" s="343"/>
      <c r="F80" s="343"/>
      <c r="G80" s="352"/>
      <c r="H80" s="299"/>
    </row>
    <row r="81" spans="1:8" s="224" customFormat="1" ht="33" customHeight="1">
      <c r="A81" s="347" t="s">
        <v>297</v>
      </c>
      <c r="B81" s="342">
        <v>50000</v>
      </c>
      <c r="C81" s="342"/>
      <c r="D81" s="342">
        <f t="shared" si="4"/>
        <v>50000</v>
      </c>
      <c r="E81" s="342">
        <v>0</v>
      </c>
      <c r="F81" s="342">
        <f t="shared" ref="F81:F87" si="6">E81/B81*100</f>
        <v>0</v>
      </c>
      <c r="G81" s="351"/>
      <c r="H81" s="305"/>
    </row>
    <row r="82" spans="1:8" s="2" customFormat="1" ht="33" customHeight="1">
      <c r="A82" s="349" t="s">
        <v>298</v>
      </c>
      <c r="B82" s="343">
        <v>50000</v>
      </c>
      <c r="C82" s="343"/>
      <c r="D82" s="342">
        <f t="shared" si="4"/>
        <v>50000</v>
      </c>
      <c r="E82" s="343">
        <v>0</v>
      </c>
      <c r="F82" s="343">
        <f t="shared" si="6"/>
        <v>0</v>
      </c>
      <c r="G82" s="352"/>
      <c r="H82" s="299"/>
    </row>
    <row r="83" spans="1:8" s="224" customFormat="1" ht="33" customHeight="1">
      <c r="A83" s="348" t="s">
        <v>301</v>
      </c>
      <c r="B83" s="342">
        <v>314969.84000000003</v>
      </c>
      <c r="C83" s="342"/>
      <c r="D83" s="342">
        <f t="shared" si="4"/>
        <v>314969.84000000003</v>
      </c>
      <c r="E83" s="342">
        <v>76536.89</v>
      </c>
      <c r="F83" s="342">
        <f t="shared" si="6"/>
        <v>24.299752001651967</v>
      </c>
      <c r="G83" s="351"/>
      <c r="H83" s="305"/>
    </row>
    <row r="84" spans="1:8" s="2" customFormat="1" ht="33" customHeight="1">
      <c r="A84" s="349" t="s">
        <v>324</v>
      </c>
      <c r="B84" s="343">
        <v>90228</v>
      </c>
      <c r="C84" s="343"/>
      <c r="D84" s="342">
        <f t="shared" si="4"/>
        <v>90228</v>
      </c>
      <c r="E84" s="343">
        <v>56537.95</v>
      </c>
      <c r="F84" s="343">
        <f t="shared" si="6"/>
        <v>62.6612027308596</v>
      </c>
      <c r="G84" s="352"/>
      <c r="H84" s="299"/>
    </row>
    <row r="85" spans="1:8" s="2" customFormat="1" ht="33" customHeight="1">
      <c r="A85" s="349" t="s">
        <v>302</v>
      </c>
      <c r="B85" s="343">
        <v>54741.84</v>
      </c>
      <c r="C85" s="343"/>
      <c r="D85" s="342">
        <f t="shared" si="4"/>
        <v>54741.84</v>
      </c>
      <c r="E85" s="343">
        <v>0</v>
      </c>
      <c r="F85" s="343">
        <f t="shared" si="6"/>
        <v>0</v>
      </c>
      <c r="G85" s="352"/>
      <c r="H85" s="299"/>
    </row>
    <row r="86" spans="1:8" s="2" customFormat="1" ht="33" customHeight="1">
      <c r="A86" s="349" t="s">
        <v>304</v>
      </c>
      <c r="B86" s="343">
        <v>20000</v>
      </c>
      <c r="C86" s="343"/>
      <c r="D86" s="342">
        <f t="shared" si="4"/>
        <v>20000</v>
      </c>
      <c r="E86" s="343">
        <v>19998.939999999999</v>
      </c>
      <c r="F86" s="343">
        <f t="shared" si="6"/>
        <v>99.994699999999995</v>
      </c>
      <c r="G86" s="352"/>
      <c r="H86" s="299"/>
    </row>
    <row r="87" spans="1:8" s="2" customFormat="1" ht="33" customHeight="1">
      <c r="A87" s="349" t="s">
        <v>325</v>
      </c>
      <c r="B87" s="343">
        <v>150000</v>
      </c>
      <c r="C87" s="343"/>
      <c r="D87" s="342">
        <f t="shared" si="4"/>
        <v>150000</v>
      </c>
      <c r="E87" s="343">
        <v>0</v>
      </c>
      <c r="F87" s="343">
        <f t="shared" si="6"/>
        <v>0</v>
      </c>
      <c r="G87" s="352"/>
      <c r="H87" s="299"/>
    </row>
    <row r="88" spans="1:8" s="224" customFormat="1" ht="33" customHeight="1">
      <c r="A88" s="348" t="s">
        <v>301</v>
      </c>
      <c r="B88" s="343"/>
      <c r="C88" s="343"/>
      <c r="D88" s="342"/>
      <c r="E88" s="343"/>
      <c r="F88" s="343"/>
      <c r="G88" s="353"/>
      <c r="H88" s="305"/>
    </row>
    <row r="89" spans="1:8" s="2" customFormat="1" ht="33" customHeight="1">
      <c r="A89" s="349" t="s">
        <v>305</v>
      </c>
      <c r="B89" s="343"/>
      <c r="C89" s="343">
        <v>2000</v>
      </c>
      <c r="D89" s="342">
        <v>2000</v>
      </c>
      <c r="E89" s="343"/>
      <c r="F89" s="343"/>
      <c r="G89" s="352"/>
      <c r="H89" s="299"/>
    </row>
    <row r="90" spans="1:8" s="224" customFormat="1" ht="33" customHeight="1">
      <c r="A90" s="348" t="s">
        <v>326</v>
      </c>
      <c r="B90" s="342">
        <v>376389.23</v>
      </c>
      <c r="C90" s="342"/>
      <c r="D90" s="342">
        <f t="shared" ref="D90:D120" si="7">B90+C90</f>
        <v>376389.23</v>
      </c>
      <c r="E90" s="342">
        <v>258553.58</v>
      </c>
      <c r="F90" s="342">
        <f t="shared" ref="F90:F120" si="8">E90/B90*100</f>
        <v>68.693139811678464</v>
      </c>
      <c r="G90" s="351"/>
      <c r="H90" s="305"/>
    </row>
    <row r="91" spans="1:8" s="224" customFormat="1" ht="33" customHeight="1">
      <c r="A91" s="349" t="s">
        <v>260</v>
      </c>
      <c r="B91" s="343">
        <v>376389.23</v>
      </c>
      <c r="C91" s="343"/>
      <c r="D91" s="342">
        <f t="shared" si="7"/>
        <v>376389.23</v>
      </c>
      <c r="E91" s="343">
        <v>258553.58</v>
      </c>
      <c r="F91" s="343">
        <f t="shared" si="8"/>
        <v>68.693139811678464</v>
      </c>
      <c r="G91" s="353"/>
      <c r="H91" s="305"/>
    </row>
    <row r="92" spans="1:8" s="2" customFormat="1" ht="33" customHeight="1">
      <c r="A92" s="349" t="s">
        <v>263</v>
      </c>
      <c r="B92" s="343">
        <v>126108.26</v>
      </c>
      <c r="C92" s="343"/>
      <c r="D92" s="342">
        <f t="shared" si="7"/>
        <v>126108.26</v>
      </c>
      <c r="E92" s="343">
        <v>53569.77</v>
      </c>
      <c r="F92" s="343">
        <f t="shared" si="8"/>
        <v>42.479192084642193</v>
      </c>
      <c r="G92" s="352"/>
      <c r="H92" s="299"/>
    </row>
    <row r="93" spans="1:8" s="2" customFormat="1" ht="33" customHeight="1">
      <c r="A93" s="349" t="s">
        <v>327</v>
      </c>
      <c r="B93" s="343">
        <v>26341.4</v>
      </c>
      <c r="C93" s="343"/>
      <c r="D93" s="342">
        <f t="shared" si="7"/>
        <v>26341.4</v>
      </c>
      <c r="E93" s="343">
        <v>26340.3</v>
      </c>
      <c r="F93" s="343">
        <f t="shared" si="8"/>
        <v>99.995824064020894</v>
      </c>
      <c r="G93" s="352"/>
      <c r="H93" s="299"/>
    </row>
    <row r="94" spans="1:8" s="2" customFormat="1" ht="33" customHeight="1">
      <c r="A94" s="349" t="s">
        <v>328</v>
      </c>
      <c r="B94" s="343">
        <v>2612.64</v>
      </c>
      <c r="C94" s="343"/>
      <c r="D94" s="342">
        <f t="shared" si="7"/>
        <v>2612.64</v>
      </c>
      <c r="E94" s="343">
        <v>0</v>
      </c>
      <c r="F94" s="343">
        <f t="shared" si="8"/>
        <v>0</v>
      </c>
      <c r="G94" s="352"/>
      <c r="H94" s="299"/>
    </row>
    <row r="95" spans="1:8" s="2" customFormat="1" ht="33" customHeight="1">
      <c r="A95" s="349" t="s">
        <v>264</v>
      </c>
      <c r="B95" s="343">
        <v>94000</v>
      </c>
      <c r="C95" s="343"/>
      <c r="D95" s="342">
        <f t="shared" si="7"/>
        <v>94000</v>
      </c>
      <c r="E95" s="343">
        <v>27229.47</v>
      </c>
      <c r="F95" s="343">
        <f t="shared" si="8"/>
        <v>28.967521276595747</v>
      </c>
      <c r="G95" s="352"/>
      <c r="H95" s="299"/>
    </row>
    <row r="96" spans="1:8" s="2" customFormat="1" ht="33" customHeight="1">
      <c r="A96" s="349" t="s">
        <v>329</v>
      </c>
      <c r="B96" s="343">
        <v>3154.22</v>
      </c>
      <c r="C96" s="343"/>
      <c r="D96" s="342">
        <f t="shared" si="7"/>
        <v>3154.22</v>
      </c>
      <c r="E96" s="343">
        <v>0</v>
      </c>
      <c r="F96" s="343">
        <f t="shared" si="8"/>
        <v>0</v>
      </c>
      <c r="G96" s="352"/>
      <c r="H96" s="299"/>
    </row>
    <row r="97" spans="1:8" s="2" customFormat="1" ht="33" customHeight="1">
      <c r="A97" s="349" t="s">
        <v>297</v>
      </c>
      <c r="B97" s="343">
        <v>45308.65</v>
      </c>
      <c r="C97" s="343"/>
      <c r="D97" s="342">
        <f t="shared" si="7"/>
        <v>45308.65</v>
      </c>
      <c r="E97" s="343">
        <v>45190.61</v>
      </c>
      <c r="F97" s="343">
        <f t="shared" si="8"/>
        <v>99.739475795460692</v>
      </c>
      <c r="G97" s="352"/>
      <c r="H97" s="299"/>
    </row>
    <row r="98" spans="1:8" s="2" customFormat="1" ht="33" customHeight="1">
      <c r="A98" s="349" t="s">
        <v>330</v>
      </c>
      <c r="B98" s="343">
        <v>45308.65</v>
      </c>
      <c r="C98" s="343"/>
      <c r="D98" s="342">
        <f t="shared" si="7"/>
        <v>45308.65</v>
      </c>
      <c r="E98" s="343">
        <v>45190.61</v>
      </c>
      <c r="F98" s="343">
        <f t="shared" si="8"/>
        <v>99.739475795460692</v>
      </c>
      <c r="G98" s="352"/>
      <c r="H98" s="299"/>
    </row>
    <row r="99" spans="1:8" s="2" customFormat="1" ht="33" customHeight="1">
      <c r="A99" s="349" t="s">
        <v>298</v>
      </c>
      <c r="B99" s="343">
        <v>45308.65</v>
      </c>
      <c r="C99" s="343"/>
      <c r="D99" s="342">
        <f t="shared" si="7"/>
        <v>45308.65</v>
      </c>
      <c r="E99" s="343">
        <v>45190.61</v>
      </c>
      <c r="F99" s="343">
        <f t="shared" si="8"/>
        <v>99.739475795460692</v>
      </c>
      <c r="G99" s="352"/>
      <c r="H99" s="299"/>
    </row>
    <row r="100" spans="1:8" s="2" customFormat="1" ht="33" customHeight="1">
      <c r="A100" s="349" t="s">
        <v>301</v>
      </c>
      <c r="B100" s="343">
        <v>65831.05</v>
      </c>
      <c r="C100" s="343"/>
      <c r="D100" s="342">
        <f t="shared" si="7"/>
        <v>65831.05</v>
      </c>
      <c r="E100" s="343">
        <v>20909.400000000001</v>
      </c>
      <c r="F100" s="343">
        <f t="shared" si="8"/>
        <v>31.762215550260859</v>
      </c>
      <c r="G100" s="352"/>
      <c r="H100" s="299"/>
    </row>
    <row r="101" spans="1:8" s="2" customFormat="1" ht="33" customHeight="1">
      <c r="A101" s="349" t="s">
        <v>330</v>
      </c>
      <c r="B101" s="343">
        <v>65831.05</v>
      </c>
      <c r="C101" s="343"/>
      <c r="D101" s="342">
        <f t="shared" si="7"/>
        <v>65831.05</v>
      </c>
      <c r="E101" s="343">
        <v>20909.400000000001</v>
      </c>
      <c r="F101" s="343">
        <f t="shared" si="8"/>
        <v>31.762215550260859</v>
      </c>
      <c r="G101" s="352"/>
      <c r="H101" s="299"/>
    </row>
    <row r="102" spans="1:8" s="2" customFormat="1" ht="33" customHeight="1">
      <c r="A102" s="349" t="s">
        <v>331</v>
      </c>
      <c r="B102" s="343">
        <v>48577</v>
      </c>
      <c r="C102" s="343"/>
      <c r="D102" s="342">
        <f t="shared" si="7"/>
        <v>48577</v>
      </c>
      <c r="E102" s="343">
        <v>3655.35</v>
      </c>
      <c r="F102" s="343">
        <f t="shared" si="8"/>
        <v>7.5248574428227357</v>
      </c>
      <c r="G102" s="352"/>
      <c r="H102" s="299"/>
    </row>
    <row r="103" spans="1:8" s="2" customFormat="1" ht="33" customHeight="1">
      <c r="A103" s="349" t="s">
        <v>324</v>
      </c>
      <c r="B103" s="343">
        <v>17254.05</v>
      </c>
      <c r="C103" s="343"/>
      <c r="D103" s="342">
        <f t="shared" si="7"/>
        <v>17254.05</v>
      </c>
      <c r="E103" s="343">
        <v>17254.05</v>
      </c>
      <c r="F103" s="343">
        <f t="shared" si="8"/>
        <v>100</v>
      </c>
      <c r="G103" s="352"/>
      <c r="H103" s="299"/>
    </row>
    <row r="104" spans="1:8" s="2" customFormat="1" ht="33" customHeight="1">
      <c r="A104" s="349" t="s">
        <v>306</v>
      </c>
      <c r="B104" s="343">
        <v>139141.26999999999</v>
      </c>
      <c r="C104" s="343"/>
      <c r="D104" s="342">
        <f t="shared" si="7"/>
        <v>139141.26999999999</v>
      </c>
      <c r="E104" s="343">
        <v>138883.79999999999</v>
      </c>
      <c r="F104" s="343">
        <f t="shared" si="8"/>
        <v>99.814957848235821</v>
      </c>
      <c r="G104" s="352"/>
      <c r="H104" s="299"/>
    </row>
    <row r="105" spans="1:8" s="2" customFormat="1" ht="33" customHeight="1">
      <c r="A105" s="349" t="s">
        <v>310</v>
      </c>
      <c r="B105" s="343">
        <v>139141.26999999999</v>
      </c>
      <c r="C105" s="343"/>
      <c r="D105" s="342">
        <f t="shared" si="7"/>
        <v>139141.26999999999</v>
      </c>
      <c r="E105" s="343">
        <v>138883.79999999999</v>
      </c>
      <c r="F105" s="343">
        <f t="shared" si="8"/>
        <v>99.814957848235821</v>
      </c>
      <c r="G105" s="352"/>
      <c r="H105" s="299"/>
    </row>
    <row r="106" spans="1:8" s="224" customFormat="1" ht="33" customHeight="1">
      <c r="A106" s="348" t="s">
        <v>332</v>
      </c>
      <c r="B106" s="342">
        <v>5245.21</v>
      </c>
      <c r="C106" s="342"/>
      <c r="D106" s="342">
        <f t="shared" si="7"/>
        <v>5245.21</v>
      </c>
      <c r="E106" s="342">
        <v>0</v>
      </c>
      <c r="F106" s="342">
        <f t="shared" si="8"/>
        <v>0</v>
      </c>
      <c r="G106" s="351"/>
      <c r="H106" s="305"/>
    </row>
    <row r="107" spans="1:8" s="224" customFormat="1" ht="33" customHeight="1">
      <c r="A107" s="349" t="s">
        <v>260</v>
      </c>
      <c r="B107" s="343">
        <v>5245.21</v>
      </c>
      <c r="C107" s="343"/>
      <c r="D107" s="342">
        <f t="shared" si="7"/>
        <v>5245.21</v>
      </c>
      <c r="E107" s="343">
        <v>0</v>
      </c>
      <c r="F107" s="343">
        <f t="shared" si="8"/>
        <v>0</v>
      </c>
      <c r="G107" s="353"/>
      <c r="H107" s="305"/>
    </row>
    <row r="108" spans="1:8" s="224" customFormat="1" ht="33" customHeight="1">
      <c r="A108" s="349" t="s">
        <v>263</v>
      </c>
      <c r="B108" s="343">
        <v>5053.54</v>
      </c>
      <c r="C108" s="343"/>
      <c r="D108" s="342">
        <f t="shared" si="7"/>
        <v>5053.54</v>
      </c>
      <c r="E108" s="343">
        <v>0</v>
      </c>
      <c r="F108" s="343">
        <f t="shared" si="8"/>
        <v>0</v>
      </c>
      <c r="G108" s="353"/>
      <c r="H108" s="305"/>
    </row>
    <row r="109" spans="1:8" s="2" customFormat="1" ht="33" customHeight="1">
      <c r="A109" s="349" t="s">
        <v>333</v>
      </c>
      <c r="B109" s="343">
        <v>8.5</v>
      </c>
      <c r="C109" s="343"/>
      <c r="D109" s="342">
        <f t="shared" si="7"/>
        <v>8.5</v>
      </c>
      <c r="E109" s="343">
        <v>0</v>
      </c>
      <c r="F109" s="343">
        <f t="shared" si="8"/>
        <v>0</v>
      </c>
      <c r="G109" s="352"/>
      <c r="H109" s="299"/>
    </row>
    <row r="110" spans="1:8" s="2" customFormat="1" ht="33" customHeight="1">
      <c r="A110" s="349" t="s">
        <v>334</v>
      </c>
      <c r="B110" s="343">
        <v>24</v>
      </c>
      <c r="C110" s="343"/>
      <c r="D110" s="342">
        <f t="shared" si="7"/>
        <v>24</v>
      </c>
      <c r="E110" s="343">
        <v>0</v>
      </c>
      <c r="F110" s="343">
        <f t="shared" si="8"/>
        <v>0</v>
      </c>
      <c r="G110" s="352"/>
      <c r="H110" s="299"/>
    </row>
    <row r="111" spans="1:8" s="2" customFormat="1" ht="33" customHeight="1">
      <c r="A111" s="349" t="s">
        <v>335</v>
      </c>
      <c r="B111" s="343">
        <v>10</v>
      </c>
      <c r="C111" s="343"/>
      <c r="D111" s="342">
        <f t="shared" si="7"/>
        <v>10</v>
      </c>
      <c r="E111" s="343">
        <v>0</v>
      </c>
      <c r="F111" s="343">
        <f t="shared" si="8"/>
        <v>0</v>
      </c>
      <c r="G111" s="352"/>
      <c r="H111" s="299"/>
    </row>
    <row r="112" spans="1:8" s="2" customFormat="1" ht="33" customHeight="1">
      <c r="A112" s="349" t="s">
        <v>336</v>
      </c>
      <c r="B112" s="343">
        <v>11.04</v>
      </c>
      <c r="C112" s="343"/>
      <c r="D112" s="342">
        <f t="shared" si="7"/>
        <v>11.04</v>
      </c>
      <c r="E112" s="343">
        <v>0</v>
      </c>
      <c r="F112" s="343">
        <f t="shared" si="8"/>
        <v>0</v>
      </c>
      <c r="G112" s="352"/>
      <c r="H112" s="299"/>
    </row>
    <row r="113" spans="1:8" s="2" customFormat="1" ht="33" customHeight="1">
      <c r="A113" s="349" t="s">
        <v>337</v>
      </c>
      <c r="B113" s="343">
        <v>5000</v>
      </c>
      <c r="C113" s="343"/>
      <c r="D113" s="342">
        <f t="shared" si="7"/>
        <v>5000</v>
      </c>
      <c r="E113" s="343">
        <v>0</v>
      </c>
      <c r="F113" s="343">
        <f t="shared" si="8"/>
        <v>0</v>
      </c>
      <c r="G113" s="352"/>
      <c r="H113" s="299"/>
    </row>
    <row r="114" spans="1:8" s="1" customFormat="1" ht="33" customHeight="1">
      <c r="A114" s="348" t="s">
        <v>338</v>
      </c>
      <c r="B114" s="342">
        <v>191.67</v>
      </c>
      <c r="C114" s="342"/>
      <c r="D114" s="342">
        <f t="shared" si="7"/>
        <v>191.67</v>
      </c>
      <c r="E114" s="342">
        <v>0</v>
      </c>
      <c r="F114" s="342">
        <f t="shared" si="8"/>
        <v>0</v>
      </c>
      <c r="G114" s="354"/>
      <c r="H114" s="307"/>
    </row>
    <row r="115" spans="1:8" s="2" customFormat="1" ht="33" customHeight="1">
      <c r="A115" s="349" t="s">
        <v>339</v>
      </c>
      <c r="B115" s="343">
        <v>191.67</v>
      </c>
      <c r="C115" s="343"/>
      <c r="D115" s="342">
        <f t="shared" si="7"/>
        <v>191.67</v>
      </c>
      <c r="E115" s="343">
        <v>0</v>
      </c>
      <c r="F115" s="343">
        <f t="shared" si="8"/>
        <v>0</v>
      </c>
      <c r="G115" s="352"/>
      <c r="H115" s="299"/>
    </row>
    <row r="116" spans="1:8" s="224" customFormat="1" ht="33" customHeight="1">
      <c r="A116" s="348" t="s">
        <v>340</v>
      </c>
      <c r="B116" s="342">
        <v>65475</v>
      </c>
      <c r="C116" s="342"/>
      <c r="D116" s="342">
        <f t="shared" si="7"/>
        <v>65475</v>
      </c>
      <c r="E116" s="342">
        <v>65475</v>
      </c>
      <c r="F116" s="342">
        <f t="shared" si="8"/>
        <v>100</v>
      </c>
      <c r="G116" s="351"/>
      <c r="H116" s="305"/>
    </row>
    <row r="117" spans="1:8" s="224" customFormat="1" ht="33" customHeight="1">
      <c r="A117" s="349" t="s">
        <v>263</v>
      </c>
      <c r="B117" s="343">
        <v>65475</v>
      </c>
      <c r="C117" s="343"/>
      <c r="D117" s="342">
        <f t="shared" si="7"/>
        <v>65475</v>
      </c>
      <c r="E117" s="343">
        <v>65475</v>
      </c>
      <c r="F117" s="343">
        <f t="shared" si="8"/>
        <v>100</v>
      </c>
      <c r="G117" s="353"/>
      <c r="H117" s="305"/>
    </row>
    <row r="118" spans="1:8" s="224" customFormat="1" ht="33" customHeight="1">
      <c r="A118" s="349" t="s">
        <v>341</v>
      </c>
      <c r="B118" s="343">
        <v>51975</v>
      </c>
      <c r="C118" s="343"/>
      <c r="D118" s="342">
        <f t="shared" si="7"/>
        <v>51975</v>
      </c>
      <c r="E118" s="343">
        <v>51975</v>
      </c>
      <c r="F118" s="343">
        <f t="shared" si="8"/>
        <v>100</v>
      </c>
      <c r="G118" s="353"/>
      <c r="H118" s="305"/>
    </row>
    <row r="119" spans="1:8" s="224" customFormat="1" ht="33" customHeight="1">
      <c r="A119" s="349" t="s">
        <v>342</v>
      </c>
      <c r="B119" s="343">
        <v>13500</v>
      </c>
      <c r="C119" s="343"/>
      <c r="D119" s="342">
        <f t="shared" si="7"/>
        <v>13500</v>
      </c>
      <c r="E119" s="343">
        <v>13500</v>
      </c>
      <c r="F119" s="343">
        <f t="shared" si="8"/>
        <v>100</v>
      </c>
      <c r="G119" s="353"/>
      <c r="H119" s="305"/>
    </row>
    <row r="120" spans="1:8" s="309" customFormat="1" ht="33" customHeight="1">
      <c r="A120" s="357" t="s">
        <v>343</v>
      </c>
      <c r="B120" s="346">
        <v>3526948.97</v>
      </c>
      <c r="C120" s="346">
        <v>0</v>
      </c>
      <c r="D120" s="346">
        <f t="shared" si="7"/>
        <v>3526948.97</v>
      </c>
      <c r="E120" s="346">
        <v>1739995.24</v>
      </c>
      <c r="F120" s="346">
        <f t="shared" si="8"/>
        <v>49.334290198136884</v>
      </c>
      <c r="G120" s="355"/>
      <c r="H120" s="308"/>
    </row>
  </sheetData>
  <mergeCells count="1">
    <mergeCell ref="A1:F1"/>
  </mergeCells>
  <pageMargins left="0.47" right="0.28000000000000003" top="0.26" bottom="0" header="0.16" footer="0.3"/>
  <pageSetup paperSize="9" scale="50" orientation="portrait" r:id="rId1"/>
  <rowBreaks count="2" manualBreakCount="2">
    <brk id="49" max="6" man="1"/>
    <brk id="8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35" zoomScaleNormal="100" workbookViewId="0">
      <selection activeCell="A52" sqref="A1:XFD52"/>
    </sheetView>
  </sheetViews>
  <sheetFormatPr defaultRowHeight="12.75"/>
  <cols>
    <col min="1" max="1" width="59.42578125" customWidth="1"/>
    <col min="2" max="2" width="15.7109375" customWidth="1"/>
    <col min="3" max="3" width="17.42578125" customWidth="1"/>
    <col min="4" max="4" width="12.140625" customWidth="1"/>
    <col min="5" max="5" width="11.85546875" customWidth="1"/>
  </cols>
  <sheetData>
    <row r="1" spans="1:5" ht="18" customHeight="1" thickBot="1">
      <c r="A1" s="408" t="s">
        <v>448</v>
      </c>
      <c r="B1" s="409"/>
      <c r="C1" s="409"/>
      <c r="D1" s="409"/>
      <c r="E1" s="410"/>
    </row>
    <row r="2" spans="1:5" ht="18" customHeight="1" thickTop="1" thickBot="1">
      <c r="A2" s="80" t="s">
        <v>449</v>
      </c>
      <c r="B2" s="81" t="s">
        <v>450</v>
      </c>
      <c r="C2" s="82" t="s">
        <v>344</v>
      </c>
      <c r="D2" s="82" t="s">
        <v>345</v>
      </c>
      <c r="E2" s="82" t="s">
        <v>258</v>
      </c>
    </row>
    <row r="3" spans="1:5" ht="18" customHeight="1" thickTop="1" thickBot="1">
      <c r="A3" s="83" t="s">
        <v>451</v>
      </c>
      <c r="B3" s="84"/>
      <c r="C3" s="85"/>
      <c r="D3" s="86"/>
      <c r="E3" s="86"/>
    </row>
    <row r="4" spans="1:5" ht="18" customHeight="1" thickTop="1" thickBot="1">
      <c r="A4" s="87" t="s">
        <v>346</v>
      </c>
      <c r="B4" s="88">
        <v>30500</v>
      </c>
      <c r="C4" s="89">
        <f>'[1]Vjetore 2016'!N4</f>
        <v>20620</v>
      </c>
      <c r="D4" s="89">
        <f>C4/B4*100</f>
        <v>67.606557377049185</v>
      </c>
      <c r="E4" s="89">
        <f>C4/B4*100-100</f>
        <v>-32.393442622950815</v>
      </c>
    </row>
    <row r="5" spans="1:5" ht="18" customHeight="1" thickTop="1" thickBot="1">
      <c r="A5" s="87" t="s">
        <v>347</v>
      </c>
      <c r="B5" s="88">
        <v>3500</v>
      </c>
      <c r="C5" s="89">
        <f>'[1]Vjetore 2016'!N5</f>
        <v>2009.5</v>
      </c>
      <c r="D5" s="89">
        <f t="shared" ref="D5:D11" si="0">C5/B5*100</f>
        <v>57.414285714285718</v>
      </c>
      <c r="E5" s="89">
        <f>C5/B5*100-100</f>
        <v>-42.585714285714282</v>
      </c>
    </row>
    <row r="6" spans="1:5" ht="18" customHeight="1" thickTop="1" thickBot="1">
      <c r="A6" s="87" t="s">
        <v>348</v>
      </c>
      <c r="B6" s="88">
        <v>1500</v>
      </c>
      <c r="C6" s="89">
        <f>'[1]Vjetore 2016'!N6</f>
        <v>658</v>
      </c>
      <c r="D6" s="89">
        <f t="shared" si="0"/>
        <v>43.866666666666667</v>
      </c>
      <c r="E6" s="89">
        <f>C6/B6*100-100</f>
        <v>-56.133333333333333</v>
      </c>
    </row>
    <row r="7" spans="1:5" ht="18" customHeight="1" thickTop="1" thickBot="1">
      <c r="A7" s="90" t="s">
        <v>349</v>
      </c>
      <c r="B7" s="89">
        <v>24500</v>
      </c>
      <c r="C7" s="89">
        <f>'[1]Vjetore 2016'!N7</f>
        <v>15134</v>
      </c>
      <c r="D7" s="89">
        <f t="shared" si="0"/>
        <v>61.771428571428565</v>
      </c>
      <c r="E7" s="89">
        <f>C7/B7*100-100</f>
        <v>-38.228571428571435</v>
      </c>
    </row>
    <row r="8" spans="1:5" ht="18" customHeight="1" thickTop="1" thickBot="1">
      <c r="A8" s="90" t="s">
        <v>350</v>
      </c>
      <c r="B8" s="89">
        <v>10000</v>
      </c>
      <c r="C8" s="89">
        <f>'[1]Vjetore 2016'!N8</f>
        <v>4973.75</v>
      </c>
      <c r="D8" s="89">
        <f t="shared" si="0"/>
        <v>49.737500000000004</v>
      </c>
      <c r="E8" s="89">
        <f t="shared" ref="E8:E48" si="1">C8/B8*100-100</f>
        <v>-50.262499999999996</v>
      </c>
    </row>
    <row r="9" spans="1:5" ht="18" customHeight="1" thickTop="1" thickBot="1">
      <c r="A9" s="90" t="s">
        <v>351</v>
      </c>
      <c r="B9" s="89">
        <v>6500</v>
      </c>
      <c r="C9" s="89">
        <f>'[1]Vjetore 2016'!N9</f>
        <v>0</v>
      </c>
      <c r="D9" s="89">
        <f t="shared" si="0"/>
        <v>0</v>
      </c>
      <c r="E9" s="89">
        <f>C9/B9*100-100</f>
        <v>-100</v>
      </c>
    </row>
    <row r="10" spans="1:5" ht="18" customHeight="1" thickTop="1" thickBot="1">
      <c r="A10" s="90" t="s">
        <v>352</v>
      </c>
      <c r="B10" s="89">
        <v>1500</v>
      </c>
      <c r="C10" s="89">
        <f>'[1]Vjetore 2016'!N10</f>
        <v>957</v>
      </c>
      <c r="D10" s="89">
        <f t="shared" si="0"/>
        <v>63.800000000000004</v>
      </c>
      <c r="E10" s="89">
        <f>C10/B10*100-100</f>
        <v>-36.199999999999996</v>
      </c>
    </row>
    <row r="11" spans="1:5" ht="18" customHeight="1" thickTop="1" thickBot="1">
      <c r="A11" s="90" t="s">
        <v>353</v>
      </c>
      <c r="B11" s="89">
        <v>5000</v>
      </c>
      <c r="C11" s="89">
        <f>'[1]Vjetore 2016'!N11</f>
        <v>453.44</v>
      </c>
      <c r="D11" s="89">
        <f t="shared" si="0"/>
        <v>9.0688000000000013</v>
      </c>
      <c r="E11" s="89">
        <f>C11/B11*100-100</f>
        <v>-90.931200000000004</v>
      </c>
    </row>
    <row r="12" spans="1:5" ht="18" customHeight="1" thickTop="1" thickBot="1">
      <c r="A12" s="91" t="s">
        <v>452</v>
      </c>
      <c r="B12" s="92"/>
      <c r="C12" s="92"/>
      <c r="D12" s="92"/>
      <c r="E12" s="92"/>
    </row>
    <row r="13" spans="1:5" ht="18" customHeight="1" thickTop="1" thickBot="1">
      <c r="A13" s="90" t="s">
        <v>354</v>
      </c>
      <c r="B13" s="89">
        <v>2000</v>
      </c>
      <c r="C13" s="89">
        <f>'[1]Vjetore 2016'!N13</f>
        <v>180</v>
      </c>
      <c r="D13" s="89">
        <f>C13/B13*100</f>
        <v>9</v>
      </c>
      <c r="E13" s="89">
        <f t="shared" si="1"/>
        <v>-91</v>
      </c>
    </row>
    <row r="14" spans="1:5" ht="18" customHeight="1" thickTop="1" thickBot="1">
      <c r="A14" s="83" t="s">
        <v>355</v>
      </c>
      <c r="B14" s="92"/>
      <c r="C14" s="92"/>
      <c r="D14" s="92"/>
      <c r="E14" s="92"/>
    </row>
    <row r="15" spans="1:5" ht="18" customHeight="1" thickTop="1" thickBot="1">
      <c r="A15" s="93" t="s">
        <v>356</v>
      </c>
      <c r="B15" s="89">
        <v>110000</v>
      </c>
      <c r="C15" s="89">
        <f>'[1]Vjetore 2016'!N15</f>
        <v>76720.3</v>
      </c>
      <c r="D15" s="89">
        <f>C15/B15*100</f>
        <v>69.745727272727279</v>
      </c>
      <c r="E15" s="89">
        <f t="shared" si="1"/>
        <v>-30.254272727272721</v>
      </c>
    </row>
    <row r="16" spans="1:5" ht="18" customHeight="1" thickTop="1" thickBot="1">
      <c r="A16" s="90" t="s">
        <v>357</v>
      </c>
      <c r="B16" s="89">
        <v>575000</v>
      </c>
      <c r="C16" s="89">
        <f>'[1]Vjetore 2016'!N16</f>
        <v>639925.58000000007</v>
      </c>
      <c r="D16" s="89">
        <f>C16/B16*100</f>
        <v>111.29140521739131</v>
      </c>
      <c r="E16" s="89">
        <f>C16/B16*100-100</f>
        <v>11.291405217391315</v>
      </c>
    </row>
    <row r="17" spans="1:5" ht="18" customHeight="1" thickTop="1" thickBot="1">
      <c r="A17" s="91" t="s">
        <v>453</v>
      </c>
      <c r="B17" s="92"/>
      <c r="C17" s="92"/>
      <c r="D17" s="92"/>
      <c r="E17" s="92"/>
    </row>
    <row r="18" spans="1:5" ht="18" customHeight="1" thickTop="1" thickBot="1">
      <c r="A18" s="90" t="s">
        <v>358</v>
      </c>
      <c r="B18" s="89">
        <v>25000</v>
      </c>
      <c r="C18" s="89">
        <f>'[1]Vjetore 2016'!N18</f>
        <v>0</v>
      </c>
      <c r="D18" s="89">
        <f>C18/B18*100</f>
        <v>0</v>
      </c>
      <c r="E18" s="89">
        <f t="shared" si="1"/>
        <v>-100</v>
      </c>
    </row>
    <row r="19" spans="1:5" ht="18" customHeight="1" thickTop="1" thickBot="1">
      <c r="A19" s="90" t="s">
        <v>359</v>
      </c>
      <c r="B19" s="340">
        <v>121000</v>
      </c>
      <c r="C19" s="89">
        <f>'[1]Vjetore 2016'!N19</f>
        <v>23336.300000000003</v>
      </c>
      <c r="D19" s="89">
        <f>C19/B19*100</f>
        <v>19.28619834710744</v>
      </c>
      <c r="E19" s="89">
        <f>C19/B19*100-100</f>
        <v>-80.713801652892556</v>
      </c>
    </row>
    <row r="20" spans="1:5" ht="18" customHeight="1" thickTop="1" thickBot="1">
      <c r="A20" s="83" t="s">
        <v>360</v>
      </c>
      <c r="B20" s="92"/>
      <c r="C20" s="92"/>
      <c r="D20" s="92"/>
      <c r="E20" s="92"/>
    </row>
    <row r="21" spans="1:5" ht="18" customHeight="1" thickTop="1" thickBot="1">
      <c r="A21" s="93" t="s">
        <v>361</v>
      </c>
      <c r="B21" s="340">
        <v>500</v>
      </c>
      <c r="C21" s="89">
        <f>'[1]Vjetore 2016'!N21</f>
        <v>0</v>
      </c>
      <c r="D21" s="89">
        <f t="shared" ref="D21:D31" si="2">C21/B21*100</f>
        <v>0</v>
      </c>
      <c r="E21" s="89">
        <f t="shared" si="1"/>
        <v>-100</v>
      </c>
    </row>
    <row r="22" spans="1:5" ht="18" customHeight="1" thickTop="1" thickBot="1">
      <c r="A22" s="90" t="s">
        <v>362</v>
      </c>
      <c r="B22" s="340">
        <v>7000</v>
      </c>
      <c r="C22" s="89">
        <f>'[1]Vjetore 2016'!N22</f>
        <v>2525</v>
      </c>
      <c r="D22" s="89">
        <f t="shared" si="2"/>
        <v>36.071428571428569</v>
      </c>
      <c r="E22" s="89">
        <f t="shared" si="1"/>
        <v>-63.928571428571431</v>
      </c>
    </row>
    <row r="23" spans="1:5" ht="18" customHeight="1" thickTop="1" thickBot="1">
      <c r="A23" s="91" t="s">
        <v>363</v>
      </c>
      <c r="B23" s="92"/>
      <c r="C23" s="92"/>
      <c r="D23" s="92"/>
      <c r="E23" s="92"/>
    </row>
    <row r="24" spans="1:5" ht="18" customHeight="1" thickTop="1" thickBot="1">
      <c r="A24" s="93" t="s">
        <v>364</v>
      </c>
      <c r="B24" s="89">
        <v>35000</v>
      </c>
      <c r="C24" s="89">
        <f>'[1]Vjetore 2016'!N24</f>
        <v>30141</v>
      </c>
      <c r="D24" s="89">
        <f t="shared" si="2"/>
        <v>86.117142857142852</v>
      </c>
      <c r="E24" s="89">
        <f t="shared" si="1"/>
        <v>-13.882857142857148</v>
      </c>
    </row>
    <row r="25" spans="1:5" ht="18" customHeight="1" thickTop="1" thickBot="1">
      <c r="A25" s="90" t="s">
        <v>365</v>
      </c>
      <c r="B25" s="89">
        <v>64500</v>
      </c>
      <c r="C25" s="89">
        <f>'[1]Vjetore 2016'!N25</f>
        <v>32918.5</v>
      </c>
      <c r="D25" s="89">
        <f t="shared" si="2"/>
        <v>51.036434108527132</v>
      </c>
      <c r="E25" s="89">
        <f t="shared" si="1"/>
        <v>-48.963565891472868</v>
      </c>
    </row>
    <row r="26" spans="1:5" ht="18" customHeight="1" thickTop="1" thickBot="1">
      <c r="A26" s="90" t="s">
        <v>366</v>
      </c>
      <c r="B26" s="89">
        <v>32000</v>
      </c>
      <c r="C26" s="89">
        <f>'[1]Vjetore 2016'!N26</f>
        <v>30379</v>
      </c>
      <c r="D26" s="89">
        <f>C26/B26*100</f>
        <v>94.934375000000003</v>
      </c>
      <c r="E26" s="89">
        <f t="shared" si="1"/>
        <v>-5.0656249999999972</v>
      </c>
    </row>
    <row r="27" spans="1:5" ht="18" customHeight="1" thickTop="1" thickBot="1">
      <c r="A27" s="83" t="s">
        <v>454</v>
      </c>
      <c r="B27" s="92"/>
      <c r="C27" s="92"/>
      <c r="D27" s="92"/>
      <c r="E27" s="92"/>
    </row>
    <row r="28" spans="1:5" ht="18" customHeight="1" thickTop="1" thickBot="1">
      <c r="A28" s="90" t="s">
        <v>367</v>
      </c>
      <c r="B28" s="89">
        <v>200000</v>
      </c>
      <c r="C28" s="89">
        <f>'[1]Vjetore 2016'!N28</f>
        <v>234632.75999999998</v>
      </c>
      <c r="D28" s="89">
        <f t="shared" si="2"/>
        <v>117.31638</v>
      </c>
      <c r="E28" s="89">
        <f t="shared" si="1"/>
        <v>17.316379999999995</v>
      </c>
    </row>
    <row r="29" spans="1:5" ht="18" customHeight="1" thickTop="1" thickBot="1">
      <c r="A29" s="90" t="s">
        <v>368</v>
      </c>
      <c r="B29" s="89">
        <v>47500</v>
      </c>
      <c r="C29" s="89">
        <f>'[1]Vjetore 2016'!N29</f>
        <v>52774.1</v>
      </c>
      <c r="D29" s="89">
        <f t="shared" si="2"/>
        <v>111.10336842105264</v>
      </c>
      <c r="E29" s="89">
        <f t="shared" si="1"/>
        <v>11.103368421052636</v>
      </c>
    </row>
    <row r="30" spans="1:5" ht="18" customHeight="1" thickTop="1" thickBot="1">
      <c r="A30" s="90" t="s">
        <v>369</v>
      </c>
      <c r="B30" s="89">
        <v>40000</v>
      </c>
      <c r="C30" s="89">
        <f>'[1]Vjetore 2016'!N30</f>
        <v>13081.8</v>
      </c>
      <c r="D30" s="89">
        <f t="shared" si="2"/>
        <v>32.704499999999996</v>
      </c>
      <c r="E30" s="89">
        <f t="shared" si="1"/>
        <v>-67.295500000000004</v>
      </c>
    </row>
    <row r="31" spans="1:5" ht="18" customHeight="1" thickTop="1" thickBot="1">
      <c r="A31" s="90" t="s">
        <v>370</v>
      </c>
      <c r="B31" s="89">
        <v>236</v>
      </c>
      <c r="C31" s="89">
        <f>'[1]Vjetore 2016'!N31</f>
        <v>0</v>
      </c>
      <c r="D31" s="89">
        <f t="shared" si="2"/>
        <v>0</v>
      </c>
      <c r="E31" s="89">
        <f>C31/B31*100-100</f>
        <v>-100</v>
      </c>
    </row>
    <row r="32" spans="1:5" ht="18" customHeight="1" thickTop="1" thickBot="1">
      <c r="A32" s="83" t="s">
        <v>455</v>
      </c>
      <c r="B32" s="92"/>
      <c r="C32" s="92"/>
      <c r="D32" s="92"/>
      <c r="E32" s="92"/>
    </row>
    <row r="33" spans="1:5" ht="18" customHeight="1" thickTop="1" thickBot="1">
      <c r="A33" s="90" t="s">
        <v>371</v>
      </c>
      <c r="B33" s="89"/>
      <c r="C33" s="89">
        <f>'[1]Vjetore 2016'!N33</f>
        <v>0</v>
      </c>
      <c r="D33" s="89"/>
      <c r="E33" s="89"/>
    </row>
    <row r="34" spans="1:5" ht="18" customHeight="1" thickTop="1" thickBot="1">
      <c r="A34" s="93" t="s">
        <v>372</v>
      </c>
      <c r="B34" s="89">
        <v>5000</v>
      </c>
      <c r="C34" s="89">
        <f>'[1]Vjetore 2016'!N34</f>
        <v>4363.6400000000003</v>
      </c>
      <c r="D34" s="89">
        <f>C34/B34*100</f>
        <v>87.272800000000004</v>
      </c>
      <c r="E34" s="89">
        <f t="shared" si="1"/>
        <v>-12.727199999999996</v>
      </c>
    </row>
    <row r="35" spans="1:5" ht="18" customHeight="1" thickTop="1" thickBot="1">
      <c r="A35" s="93" t="s">
        <v>373</v>
      </c>
      <c r="B35" s="89">
        <v>40000</v>
      </c>
      <c r="C35" s="89">
        <f>'[1]Vjetore 2016'!N35</f>
        <v>21909.199999999997</v>
      </c>
      <c r="D35" s="89">
        <f>C35/B35*100</f>
        <v>54.772999999999996</v>
      </c>
      <c r="E35" s="89">
        <f>C35/B35*100-100</f>
        <v>-45.227000000000004</v>
      </c>
    </row>
    <row r="36" spans="1:5" ht="18" customHeight="1" thickTop="1" thickBot="1">
      <c r="A36" s="91" t="s">
        <v>374</v>
      </c>
      <c r="B36" s="92"/>
      <c r="C36" s="92"/>
      <c r="D36" s="92"/>
      <c r="E36" s="92"/>
    </row>
    <row r="37" spans="1:5" ht="18" customHeight="1" thickTop="1" thickBot="1">
      <c r="A37" s="90" t="s">
        <v>375</v>
      </c>
      <c r="B37" s="89">
        <v>1100</v>
      </c>
      <c r="C37" s="89">
        <f>'[1]Vjetore 2016'!N37</f>
        <v>312.25</v>
      </c>
      <c r="D37" s="89">
        <f t="shared" ref="D37:D51" si="3">C37/B37*100</f>
        <v>28.386363636363637</v>
      </c>
      <c r="E37" s="89">
        <f t="shared" si="1"/>
        <v>-71.61363636363636</v>
      </c>
    </row>
    <row r="38" spans="1:5" ht="18" customHeight="1" thickTop="1" thickBot="1">
      <c r="A38" s="90" t="s">
        <v>359</v>
      </c>
      <c r="B38" s="340">
        <v>600</v>
      </c>
      <c r="C38" s="89">
        <f>'[1]Vjetore 2016'!N38</f>
        <v>86.4</v>
      </c>
      <c r="D38" s="89">
        <f t="shared" si="3"/>
        <v>14.400000000000002</v>
      </c>
      <c r="E38" s="89">
        <f t="shared" si="1"/>
        <v>-85.6</v>
      </c>
    </row>
    <row r="39" spans="1:5" ht="18" customHeight="1" thickTop="1" thickBot="1">
      <c r="A39" s="94" t="s">
        <v>376</v>
      </c>
      <c r="B39" s="92">
        <f>SUM(B4:B38)</f>
        <v>1389436</v>
      </c>
      <c r="C39" s="92">
        <f>'[1]Vjetore 2016'!N39</f>
        <v>1208091.52</v>
      </c>
      <c r="D39" s="92">
        <f t="shared" si="3"/>
        <v>86.948338750399444</v>
      </c>
      <c r="E39" s="92">
        <f t="shared" si="1"/>
        <v>-13.051661249600556</v>
      </c>
    </row>
    <row r="40" spans="1:5" ht="18" customHeight="1" thickTop="1" thickBot="1">
      <c r="A40" s="90" t="s">
        <v>456</v>
      </c>
      <c r="B40" s="89">
        <v>35000</v>
      </c>
      <c r="C40" s="89">
        <f>'[1]Vjetore 2016'!N40</f>
        <v>18537.5</v>
      </c>
      <c r="D40" s="89">
        <f t="shared" si="3"/>
        <v>52.964285714285722</v>
      </c>
      <c r="E40" s="89">
        <f t="shared" si="1"/>
        <v>-47.035714285714278</v>
      </c>
    </row>
    <row r="41" spans="1:5" ht="18" customHeight="1" thickTop="1" thickBot="1">
      <c r="A41" s="90" t="s">
        <v>377</v>
      </c>
      <c r="B41" s="89">
        <v>45000</v>
      </c>
      <c r="C41" s="89">
        <f>'[1]Vjetore 2016'!N41</f>
        <v>28427.599999999999</v>
      </c>
      <c r="D41" s="89">
        <f t="shared" si="3"/>
        <v>63.172444444444444</v>
      </c>
      <c r="E41" s="89">
        <f t="shared" si="1"/>
        <v>-36.827555555555556</v>
      </c>
    </row>
    <row r="42" spans="1:5" ht="18" customHeight="1" thickTop="1" thickBot="1">
      <c r="A42" s="90" t="s">
        <v>378</v>
      </c>
      <c r="B42" s="89">
        <v>30000</v>
      </c>
      <c r="C42" s="89">
        <f>'[1]Vjetore 2016'!N42</f>
        <v>5683.5</v>
      </c>
      <c r="D42" s="89">
        <f t="shared" si="3"/>
        <v>18.945</v>
      </c>
      <c r="E42" s="89">
        <f t="shared" si="1"/>
        <v>-81.055000000000007</v>
      </c>
    </row>
    <row r="43" spans="1:5" ht="18" customHeight="1" thickTop="1" thickBot="1">
      <c r="A43" s="90" t="s">
        <v>359</v>
      </c>
      <c r="B43" s="340">
        <v>400</v>
      </c>
      <c r="C43" s="89">
        <f>'[1]Vjetore 2016'!N43</f>
        <v>0</v>
      </c>
      <c r="D43" s="89">
        <f t="shared" si="3"/>
        <v>0</v>
      </c>
      <c r="E43" s="89">
        <f t="shared" si="1"/>
        <v>-100</v>
      </c>
    </row>
    <row r="44" spans="1:5" ht="18" customHeight="1" thickTop="1" thickBot="1">
      <c r="A44" s="90" t="s">
        <v>379</v>
      </c>
      <c r="B44" s="341"/>
      <c r="C44" s="89">
        <f>'[1]Vjetore 2016'!N44</f>
        <v>0</v>
      </c>
      <c r="D44" s="89"/>
      <c r="E44" s="89"/>
    </row>
    <row r="45" spans="1:5" ht="18" customHeight="1" thickTop="1" thickBot="1">
      <c r="A45" s="94" t="s">
        <v>380</v>
      </c>
      <c r="B45" s="92">
        <f>SUM(B39:B43)</f>
        <v>1499836</v>
      </c>
      <c r="C45" s="92">
        <f>'[1]Vjetore 2016'!N45</f>
        <v>1260740.1200000001</v>
      </c>
      <c r="D45" s="92">
        <f>C45/B45*100</f>
        <v>84.058531732802805</v>
      </c>
      <c r="E45" s="92">
        <f t="shared" si="1"/>
        <v>-15.941468267197195</v>
      </c>
    </row>
    <row r="46" spans="1:5" ht="18" customHeight="1" thickTop="1" thickBot="1">
      <c r="A46" s="90" t="s">
        <v>457</v>
      </c>
      <c r="B46" s="89">
        <v>40000</v>
      </c>
      <c r="C46" s="89">
        <f>'[1]Vjetore 2016'!N46</f>
        <v>22859.5</v>
      </c>
      <c r="D46" s="89">
        <f t="shared" si="3"/>
        <v>57.148750000000007</v>
      </c>
      <c r="E46" s="89">
        <f>C46/B46*100-100</f>
        <v>-42.851249999999993</v>
      </c>
    </row>
    <row r="47" spans="1:5" ht="18" customHeight="1" thickTop="1" thickBot="1">
      <c r="A47" s="90" t="s">
        <v>458</v>
      </c>
      <c r="B47" s="89">
        <f>110164-164</f>
        <v>110000</v>
      </c>
      <c r="C47" s="89">
        <f>'[1]Vjetore 2016'!N47</f>
        <v>27640</v>
      </c>
      <c r="D47" s="89">
        <f t="shared" si="3"/>
        <v>25.127272727272725</v>
      </c>
      <c r="E47" s="89">
        <f t="shared" si="1"/>
        <v>-74.872727272727275</v>
      </c>
    </row>
    <row r="48" spans="1:5" ht="18" customHeight="1" thickTop="1" thickBot="1">
      <c r="A48" s="90" t="s">
        <v>459</v>
      </c>
      <c r="B48" s="89">
        <v>164</v>
      </c>
      <c r="C48" s="89">
        <f>'[1]Vjetore 2016'!N48</f>
        <v>0</v>
      </c>
      <c r="D48" s="89">
        <f t="shared" si="3"/>
        <v>0</v>
      </c>
      <c r="E48" s="89">
        <f t="shared" si="1"/>
        <v>-100</v>
      </c>
    </row>
    <row r="49" spans="1:5" ht="18" customHeight="1" thickTop="1" thickBot="1">
      <c r="A49" s="94" t="s">
        <v>381</v>
      </c>
      <c r="B49" s="92">
        <f>SUM(B45:B48)</f>
        <v>1650000</v>
      </c>
      <c r="C49" s="92">
        <f>'[1]Vjetore 2016'!N49</f>
        <v>1311239.6200000001</v>
      </c>
      <c r="D49" s="92">
        <f>C49/B49*100</f>
        <v>79.469067878787882</v>
      </c>
      <c r="E49" s="92">
        <f>C49/B49*100-100</f>
        <v>-20.530932121212118</v>
      </c>
    </row>
    <row r="50" spans="1:5" ht="18" customHeight="1" thickTop="1" thickBot="1">
      <c r="A50" s="95" t="s">
        <v>460</v>
      </c>
      <c r="B50" s="89"/>
      <c r="C50" s="89">
        <f>'[1]Vjetore 2016'!N50</f>
        <v>75515</v>
      </c>
      <c r="D50" s="89"/>
      <c r="E50" s="89"/>
    </row>
    <row r="51" spans="1:5" ht="18" customHeight="1" thickTop="1" thickBot="1">
      <c r="A51" s="94" t="s">
        <v>382</v>
      </c>
      <c r="B51" s="92">
        <f>SUM(B49:B50)</f>
        <v>1650000</v>
      </c>
      <c r="C51" s="92">
        <f>'[1]Vjetore 2016'!N51</f>
        <v>1386754.62</v>
      </c>
      <c r="D51" s="92">
        <f t="shared" si="3"/>
        <v>84.04573454545455</v>
      </c>
      <c r="E51" s="92">
        <f>C51/B51*100-100</f>
        <v>-15.95426545454545</v>
      </c>
    </row>
    <row r="52" spans="1:5" ht="18" customHeight="1" thickTop="1" thickBot="1">
      <c r="A52" s="95" t="s">
        <v>461</v>
      </c>
      <c r="B52" s="89"/>
      <c r="C52" s="89">
        <f>'[1]Vjetore 2016'!N52</f>
        <v>1645.5</v>
      </c>
      <c r="D52" s="89"/>
      <c r="E52" s="89"/>
    </row>
    <row r="53" spans="1:5" ht="13.5" thickTop="1"/>
  </sheetData>
  <mergeCells count="1">
    <mergeCell ref="A1:E1"/>
  </mergeCells>
  <conditionalFormatting sqref="A2:E52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{A639D4D1-8F1E-47F2-BFC9-D1DA735582A5}</x14:id>
        </ext>
      </extLst>
    </cfRule>
  </conditionalFormatting>
  <conditionalFormatting sqref="A2:E52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{D34A6C91-8529-40B6-8C7E-A5DA29854CD7}</x14:id>
        </ext>
      </extLst>
    </cfRule>
  </conditionalFormatting>
  <conditionalFormatting sqref="B3:C5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{246B24AD-4C08-4E96-81D5-1DF497D78006}</x14:id>
        </ext>
      </extLst>
    </cfRule>
  </conditionalFormatting>
  <pageMargins left="0.7" right="0.7" top="0.75" bottom="0.75" header="0.3" footer="0.3"/>
  <pageSetup scale="73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39D4D1-8F1E-47F2-BFC9-D1DA735582A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A2:E52</xm:sqref>
        </x14:conditionalFormatting>
        <x14:conditionalFormatting xmlns:xm="http://schemas.microsoft.com/office/excel/2006/main">
          <x14:cfRule type="dataBar" id="{D34A6C91-8529-40B6-8C7E-A5DA29854CD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A2:E52</xm:sqref>
        </x14:conditionalFormatting>
        <x14:conditionalFormatting xmlns:xm="http://schemas.microsoft.com/office/excel/2006/main">
          <x14:cfRule type="dataBar" id="{246B24AD-4C08-4E96-81D5-1DF497D7800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B3:C52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topLeftCell="A16" zoomScale="60" zoomScaleNormal="100" workbookViewId="0">
      <selection activeCell="E6" sqref="E6"/>
    </sheetView>
  </sheetViews>
  <sheetFormatPr defaultRowHeight="12.75"/>
  <cols>
    <col min="1" max="1" width="59.7109375" customWidth="1"/>
    <col min="2" max="2" width="26.5703125" customWidth="1"/>
    <col min="3" max="3" width="26.42578125" customWidth="1"/>
    <col min="4" max="4" width="22.28515625" customWidth="1"/>
    <col min="5" max="5" width="20.5703125" customWidth="1"/>
  </cols>
  <sheetData>
    <row r="1" spans="1:5" ht="24.95" customHeight="1" thickTop="1" thickBot="1">
      <c r="A1" s="411" t="s">
        <v>444</v>
      </c>
      <c r="B1" s="411"/>
      <c r="C1" s="411"/>
      <c r="D1" s="411"/>
      <c r="E1" s="411"/>
    </row>
    <row r="2" spans="1:5" ht="24.95" customHeight="1" thickTop="1" thickBot="1">
      <c r="A2" s="337"/>
      <c r="B2" s="338" t="s">
        <v>383</v>
      </c>
      <c r="C2" s="339" t="s">
        <v>344</v>
      </c>
      <c r="D2" s="339" t="s">
        <v>345</v>
      </c>
      <c r="E2" s="339" t="s">
        <v>258</v>
      </c>
    </row>
    <row r="3" spans="1:5" ht="24.95" customHeight="1" thickTop="1" thickBot="1">
      <c r="A3" s="83" t="s">
        <v>384</v>
      </c>
      <c r="B3" s="84"/>
      <c r="C3" s="85"/>
      <c r="D3" s="86"/>
      <c r="E3" s="86"/>
    </row>
    <row r="4" spans="1:5" ht="24.95" customHeight="1" thickTop="1" thickBot="1">
      <c r="A4" s="325" t="s">
        <v>346</v>
      </c>
      <c r="B4" s="326">
        <f>'[1]2015'!O4</f>
        <v>10863</v>
      </c>
      <c r="C4" s="327">
        <f>'[1]Vjetore 2016'!N4</f>
        <v>20620</v>
      </c>
      <c r="D4" s="327">
        <f>C4/B4*100</f>
        <v>189.81865046488079</v>
      </c>
      <c r="E4" s="327">
        <f>C4/B4*100-100</f>
        <v>89.81865046488079</v>
      </c>
    </row>
    <row r="5" spans="1:5" ht="24.95" customHeight="1" thickTop="1" thickBot="1">
      <c r="A5" s="325" t="s">
        <v>347</v>
      </c>
      <c r="B5" s="326">
        <f>'[1]2015'!O5</f>
        <v>879.25</v>
      </c>
      <c r="C5" s="327">
        <f>'[1]Vjetore 2016'!N5</f>
        <v>2009.5</v>
      </c>
      <c r="D5" s="327">
        <f t="shared" ref="D5:D6" si="0">C5/B5*100</f>
        <v>228.54705715098095</v>
      </c>
      <c r="E5" s="327">
        <f t="shared" ref="E5:E51" si="1">C5/B5*100-100</f>
        <v>128.54705715098095</v>
      </c>
    </row>
    <row r="6" spans="1:5" ht="24.95" customHeight="1" thickTop="1" thickBot="1">
      <c r="A6" s="325" t="s">
        <v>348</v>
      </c>
      <c r="B6" s="326">
        <f>'[1]2015'!O6</f>
        <v>303.5</v>
      </c>
      <c r="C6" s="327">
        <f>'[1]Vjetore 2016'!N6</f>
        <v>658</v>
      </c>
      <c r="D6" s="327">
        <f t="shared" si="0"/>
        <v>216.80395387149915</v>
      </c>
      <c r="E6" s="327">
        <f t="shared" si="1"/>
        <v>116.80395387149915</v>
      </c>
    </row>
    <row r="7" spans="1:5" ht="24.95" customHeight="1" thickTop="1" thickBot="1">
      <c r="A7" s="328" t="s">
        <v>349</v>
      </c>
      <c r="B7" s="326">
        <f>'[1]2015'!O7</f>
        <v>18764.75</v>
      </c>
      <c r="C7" s="327">
        <f>'[1]Vjetore 2016'!N7</f>
        <v>15134</v>
      </c>
      <c r="D7" s="327">
        <f>C7/B7*100</f>
        <v>80.651221039448956</v>
      </c>
      <c r="E7" s="327">
        <f t="shared" si="1"/>
        <v>-19.348778960551044</v>
      </c>
    </row>
    <row r="8" spans="1:5" ht="24.95" customHeight="1" thickTop="1" thickBot="1">
      <c r="A8" s="328" t="s">
        <v>350</v>
      </c>
      <c r="B8" s="326">
        <f>'[1]2015'!O8</f>
        <v>6541</v>
      </c>
      <c r="C8" s="327">
        <f>'[1]Vjetore 2016'!N8</f>
        <v>4973.75</v>
      </c>
      <c r="D8" s="327">
        <f t="shared" ref="D8:D51" si="2">C8/B8*100</f>
        <v>76.039596391988994</v>
      </c>
      <c r="E8" s="327">
        <f t="shared" si="1"/>
        <v>-23.960403608011006</v>
      </c>
    </row>
    <row r="9" spans="1:5" ht="24.95" customHeight="1" thickTop="1" thickBot="1">
      <c r="A9" s="328" t="s">
        <v>351</v>
      </c>
      <c r="B9" s="326">
        <f>'[1]2015'!O9</f>
        <v>4678.8599999999997</v>
      </c>
      <c r="C9" s="327">
        <f>'[1]Vjetore 2016'!N9</f>
        <v>0</v>
      </c>
      <c r="D9" s="327">
        <f t="shared" si="2"/>
        <v>0</v>
      </c>
      <c r="E9" s="327">
        <f>C9/B9*100-100</f>
        <v>-100</v>
      </c>
    </row>
    <row r="10" spans="1:5" ht="24.95" customHeight="1" thickTop="1" thickBot="1">
      <c r="A10" s="328" t="s">
        <v>352</v>
      </c>
      <c r="B10" s="326">
        <f>'[1]2015'!O10</f>
        <v>1097.5</v>
      </c>
      <c r="C10" s="327">
        <f>'[1]Vjetore 2016'!N10</f>
        <v>957</v>
      </c>
      <c r="D10" s="327"/>
      <c r="E10" s="327"/>
    </row>
    <row r="11" spans="1:5" ht="24.95" customHeight="1" thickTop="1" thickBot="1">
      <c r="A11" s="328" t="s">
        <v>353</v>
      </c>
      <c r="B11" s="326">
        <f>'[1]2015'!O11</f>
        <v>0</v>
      </c>
      <c r="C11" s="327">
        <f>'[1]Vjetore 2016'!N11</f>
        <v>453.44</v>
      </c>
      <c r="D11" s="327"/>
      <c r="E11" s="327"/>
    </row>
    <row r="12" spans="1:5" ht="24.95" customHeight="1" thickTop="1" thickBot="1">
      <c r="A12" s="329" t="s">
        <v>385</v>
      </c>
      <c r="B12" s="330"/>
      <c r="C12" s="331"/>
      <c r="D12" s="331"/>
      <c r="E12" s="331"/>
    </row>
    <row r="13" spans="1:5" ht="24.95" customHeight="1" thickTop="1" thickBot="1">
      <c r="A13" s="328" t="s">
        <v>354</v>
      </c>
      <c r="B13" s="326">
        <f>'[1]2015'!O13</f>
        <v>180</v>
      </c>
      <c r="C13" s="327">
        <f>'[1]Vjetore 2016'!N13</f>
        <v>180</v>
      </c>
      <c r="D13" s="327">
        <f t="shared" si="2"/>
        <v>100</v>
      </c>
      <c r="E13" s="327">
        <f t="shared" si="1"/>
        <v>0</v>
      </c>
    </row>
    <row r="14" spans="1:5" ht="24.95" customHeight="1" thickTop="1" thickBot="1">
      <c r="A14" s="332" t="s">
        <v>355</v>
      </c>
      <c r="B14" s="330"/>
      <c r="C14" s="331"/>
      <c r="D14" s="331"/>
      <c r="E14" s="331"/>
    </row>
    <row r="15" spans="1:5" ht="24.95" customHeight="1" thickTop="1" thickBot="1">
      <c r="A15" s="333" t="s">
        <v>356</v>
      </c>
      <c r="B15" s="326">
        <f>'[1]2015'!O15</f>
        <v>73091.5</v>
      </c>
      <c r="C15" s="327">
        <f>'[1]Vjetore 2016'!N15</f>
        <v>76720.3</v>
      </c>
      <c r="D15" s="327">
        <f t="shared" si="2"/>
        <v>104.96473598161209</v>
      </c>
      <c r="E15" s="327">
        <f t="shared" si="1"/>
        <v>4.964735981612094</v>
      </c>
    </row>
    <row r="16" spans="1:5" ht="24.95" customHeight="1" thickTop="1" thickBot="1">
      <c r="A16" s="328" t="s">
        <v>357</v>
      </c>
      <c r="B16" s="326">
        <f>'[1]2015'!O16</f>
        <v>461957.99999999994</v>
      </c>
      <c r="C16" s="327">
        <f>'[1]Vjetore 2016'!N16</f>
        <v>639925.58000000007</v>
      </c>
      <c r="D16" s="327">
        <f t="shared" si="2"/>
        <v>138.52462345061676</v>
      </c>
      <c r="E16" s="327">
        <f t="shared" si="1"/>
        <v>38.524623450616758</v>
      </c>
    </row>
    <row r="17" spans="1:5" ht="24.95" customHeight="1" thickTop="1" thickBot="1">
      <c r="A17" s="329" t="s">
        <v>386</v>
      </c>
      <c r="B17" s="330"/>
      <c r="C17" s="331"/>
      <c r="D17" s="331"/>
      <c r="E17" s="331"/>
    </row>
    <row r="18" spans="1:5" ht="24.95" customHeight="1" thickTop="1" thickBot="1">
      <c r="A18" s="328" t="s">
        <v>358</v>
      </c>
      <c r="B18" s="326">
        <f>'[1]2015'!O18</f>
        <v>0</v>
      </c>
      <c r="C18" s="327">
        <f>'[1]Vjetore 2016'!N18</f>
        <v>0</v>
      </c>
      <c r="D18" s="327"/>
      <c r="E18" s="327"/>
    </row>
    <row r="19" spans="1:5" ht="24.95" customHeight="1" thickTop="1" thickBot="1">
      <c r="A19" s="328" t="s">
        <v>359</v>
      </c>
      <c r="B19" s="326">
        <f>'[1]2015'!O19</f>
        <v>45519.54</v>
      </c>
      <c r="C19" s="327">
        <f>'[1]Vjetore 2016'!N19</f>
        <v>23336.300000000003</v>
      </c>
      <c r="D19" s="327">
        <f>C19/B19*100</f>
        <v>51.266554978367537</v>
      </c>
      <c r="E19" s="327">
        <f>C19/B19*100-100</f>
        <v>-48.733445021632463</v>
      </c>
    </row>
    <row r="20" spans="1:5" ht="24.95" customHeight="1" thickTop="1" thickBot="1">
      <c r="A20" s="332" t="s">
        <v>360</v>
      </c>
      <c r="B20" s="330"/>
      <c r="C20" s="331"/>
      <c r="D20" s="331"/>
      <c r="E20" s="331"/>
    </row>
    <row r="21" spans="1:5" ht="24.95" customHeight="1" thickTop="1" thickBot="1">
      <c r="A21" s="333" t="s">
        <v>361</v>
      </c>
      <c r="B21" s="326">
        <f>'[1]2015'!O21</f>
        <v>690</v>
      </c>
      <c r="C21" s="327">
        <f>'[1]Vjetore 2016'!N21</f>
        <v>0</v>
      </c>
      <c r="D21" s="327">
        <f t="shared" si="2"/>
        <v>0</v>
      </c>
      <c r="E21" s="327">
        <f t="shared" si="1"/>
        <v>-100</v>
      </c>
    </row>
    <row r="22" spans="1:5" ht="24.95" customHeight="1" thickTop="1" thickBot="1">
      <c r="A22" s="328" t="s">
        <v>362</v>
      </c>
      <c r="B22" s="326">
        <f>'[1]2015'!O22</f>
        <v>4550</v>
      </c>
      <c r="C22" s="327">
        <f>'[1]Vjetore 2016'!N22</f>
        <v>2525</v>
      </c>
      <c r="D22" s="327">
        <f t="shared" si="2"/>
        <v>55.494505494505496</v>
      </c>
      <c r="E22" s="327">
        <f t="shared" si="1"/>
        <v>-44.505494505494504</v>
      </c>
    </row>
    <row r="23" spans="1:5" ht="24.95" customHeight="1" thickTop="1" thickBot="1">
      <c r="A23" s="329" t="s">
        <v>363</v>
      </c>
      <c r="B23" s="330"/>
      <c r="C23" s="331"/>
      <c r="D23" s="331"/>
      <c r="E23" s="331"/>
    </row>
    <row r="24" spans="1:5" ht="24.95" customHeight="1" thickTop="1" thickBot="1">
      <c r="A24" s="333" t="s">
        <v>364</v>
      </c>
      <c r="B24" s="326">
        <f>'[1]2015'!O24</f>
        <v>26570</v>
      </c>
      <c r="C24" s="327">
        <f>'[1]Vjetore 2016'!N24</f>
        <v>30141</v>
      </c>
      <c r="D24" s="327">
        <f t="shared" si="2"/>
        <v>113.43996989085434</v>
      </c>
      <c r="E24" s="327">
        <f t="shared" si="1"/>
        <v>13.439969890854343</v>
      </c>
    </row>
    <row r="25" spans="1:5" ht="24.95" customHeight="1" thickTop="1" thickBot="1">
      <c r="A25" s="328" t="s">
        <v>365</v>
      </c>
      <c r="B25" s="326">
        <f>'[1]2015'!O25</f>
        <v>36099</v>
      </c>
      <c r="C25" s="327">
        <f>'[1]Vjetore 2016'!N25</f>
        <v>32918.5</v>
      </c>
      <c r="D25" s="327">
        <f t="shared" si="2"/>
        <v>91.189506634532819</v>
      </c>
      <c r="E25" s="327">
        <f t="shared" si="1"/>
        <v>-8.8104933654671811</v>
      </c>
    </row>
    <row r="26" spans="1:5" ht="24.95" customHeight="1" thickTop="1" thickBot="1">
      <c r="A26" s="328" t="s">
        <v>366</v>
      </c>
      <c r="B26" s="326">
        <f>'[1]2015'!O26</f>
        <v>21830.32</v>
      </c>
      <c r="C26" s="327">
        <f>'[1]Vjetore 2016'!N26</f>
        <v>30379</v>
      </c>
      <c r="D26" s="327">
        <f t="shared" si="2"/>
        <v>139.15966417349813</v>
      </c>
      <c r="E26" s="327">
        <f t="shared" si="1"/>
        <v>39.159664173498129</v>
      </c>
    </row>
    <row r="27" spans="1:5" ht="24.95" customHeight="1" thickTop="1" thickBot="1">
      <c r="A27" s="332" t="s">
        <v>387</v>
      </c>
      <c r="B27" s="330"/>
      <c r="C27" s="331"/>
      <c r="D27" s="331"/>
      <c r="E27" s="331"/>
    </row>
    <row r="28" spans="1:5" ht="24.95" customHeight="1" thickTop="1" thickBot="1">
      <c r="A28" s="328" t="s">
        <v>367</v>
      </c>
      <c r="B28" s="326">
        <f>'[1]2015'!O28</f>
        <v>110185.1</v>
      </c>
      <c r="C28" s="327">
        <f>'[1]Vjetore 2016'!N28</f>
        <v>234632.75999999998</v>
      </c>
      <c r="D28" s="327">
        <f t="shared" si="2"/>
        <v>212.94418210810716</v>
      </c>
      <c r="E28" s="327">
        <f t="shared" si="1"/>
        <v>112.94418210810716</v>
      </c>
    </row>
    <row r="29" spans="1:5" ht="24.95" customHeight="1" thickTop="1" thickBot="1">
      <c r="A29" s="328" t="s">
        <v>368</v>
      </c>
      <c r="B29" s="326">
        <f>'[1]2015'!O29</f>
        <v>62314.3</v>
      </c>
      <c r="C29" s="327">
        <f>'[1]Vjetore 2016'!N29</f>
        <v>52774.1</v>
      </c>
      <c r="D29" s="327">
        <f t="shared" si="2"/>
        <v>84.690191496975814</v>
      </c>
      <c r="E29" s="327">
        <f t="shared" si="1"/>
        <v>-15.309808503024186</v>
      </c>
    </row>
    <row r="30" spans="1:5" ht="24.95" customHeight="1" thickTop="1" thickBot="1">
      <c r="A30" s="328" t="s">
        <v>369</v>
      </c>
      <c r="B30" s="326">
        <f>'[1]2015'!O30</f>
        <v>0</v>
      </c>
      <c r="C30" s="327">
        <f>'[1]Vjetore 2016'!N30</f>
        <v>13081.8</v>
      </c>
      <c r="D30" s="327"/>
      <c r="E30" s="327"/>
    </row>
    <row r="31" spans="1:5" ht="24.95" customHeight="1" thickTop="1" thickBot="1">
      <c r="A31" s="328" t="s">
        <v>370</v>
      </c>
      <c r="B31" s="326">
        <f>'[1]2015'!O31</f>
        <v>0</v>
      </c>
      <c r="C31" s="327">
        <f>'[1]Vjetore 2016'!N31</f>
        <v>0</v>
      </c>
      <c r="D31" s="327"/>
      <c r="E31" s="327"/>
    </row>
    <row r="32" spans="1:5" ht="24.95" customHeight="1" thickTop="1" thickBot="1">
      <c r="A32" s="332" t="s">
        <v>388</v>
      </c>
      <c r="B32" s="330"/>
      <c r="C32" s="331"/>
      <c r="D32" s="331"/>
      <c r="E32" s="331"/>
    </row>
    <row r="33" spans="1:5" ht="24.95" customHeight="1" thickTop="1" thickBot="1">
      <c r="A33" s="328" t="s">
        <v>371</v>
      </c>
      <c r="B33" s="326">
        <f>'[1]2015'!O33</f>
        <v>0</v>
      </c>
      <c r="C33" s="327">
        <f>'[1]Vjetore 2016'!N33</f>
        <v>0</v>
      </c>
      <c r="D33" s="327"/>
      <c r="E33" s="327"/>
    </row>
    <row r="34" spans="1:5" ht="24.95" customHeight="1" thickTop="1" thickBot="1">
      <c r="A34" s="333" t="s">
        <v>372</v>
      </c>
      <c r="B34" s="326">
        <f>'[1]2015'!O34</f>
        <v>1249.5</v>
      </c>
      <c r="C34" s="327">
        <f>'[1]Vjetore 2016'!N34</f>
        <v>4363.6400000000003</v>
      </c>
      <c r="D34" s="327">
        <f>C34/B34*100</f>
        <v>349.23089235694277</v>
      </c>
      <c r="E34" s="327">
        <f>C34/B34*100-100</f>
        <v>249.23089235694277</v>
      </c>
    </row>
    <row r="35" spans="1:5" ht="24.95" customHeight="1" thickTop="1" thickBot="1">
      <c r="A35" s="333" t="s">
        <v>373</v>
      </c>
      <c r="B35" s="326">
        <f>'[1]2015'!O35</f>
        <v>25061.3</v>
      </c>
      <c r="C35" s="327">
        <f>'[1]Vjetore 2016'!N35</f>
        <v>21909.199999999997</v>
      </c>
      <c r="D35" s="327">
        <f>C35/B35*100</f>
        <v>87.422440176686749</v>
      </c>
      <c r="E35" s="327">
        <f>C35/B35*100-100</f>
        <v>-12.577559823313251</v>
      </c>
    </row>
    <row r="36" spans="1:5" ht="24.95" customHeight="1" thickTop="1" thickBot="1">
      <c r="A36" s="329" t="s">
        <v>374</v>
      </c>
      <c r="B36" s="330"/>
      <c r="C36" s="331"/>
      <c r="D36" s="331"/>
      <c r="E36" s="331"/>
    </row>
    <row r="37" spans="1:5" ht="24.95" customHeight="1" thickTop="1" thickBot="1">
      <c r="A37" s="328" t="s">
        <v>375</v>
      </c>
      <c r="B37" s="326">
        <f>'[1]2015'!O37</f>
        <v>414</v>
      </c>
      <c r="C37" s="327">
        <f>'[1]Vjetore 2016'!N37</f>
        <v>312.25</v>
      </c>
      <c r="D37" s="334">
        <f t="shared" si="2"/>
        <v>75.422705314009661</v>
      </c>
      <c r="E37" s="327">
        <f t="shared" si="1"/>
        <v>-24.577294685990339</v>
      </c>
    </row>
    <row r="38" spans="1:5" ht="24.95" customHeight="1" thickTop="1" thickBot="1">
      <c r="A38" s="328" t="s">
        <v>359</v>
      </c>
      <c r="B38" s="326">
        <f>'[1]2015'!O38</f>
        <v>490</v>
      </c>
      <c r="C38" s="327">
        <f>'[1]Vjetore 2016'!N38</f>
        <v>86.4</v>
      </c>
      <c r="D38" s="327">
        <f t="shared" si="2"/>
        <v>17.632653061224492</v>
      </c>
      <c r="E38" s="335">
        <f t="shared" si="1"/>
        <v>-82.367346938775512</v>
      </c>
    </row>
    <row r="39" spans="1:5" ht="24.95" customHeight="1" thickTop="1" thickBot="1">
      <c r="A39" s="336" t="s">
        <v>376</v>
      </c>
      <c r="B39" s="330">
        <f>'[1]2015'!O39</f>
        <v>913330.42</v>
      </c>
      <c r="C39" s="331">
        <f>'[1]Vjetore 2016'!N39</f>
        <v>1208091.52</v>
      </c>
      <c r="D39" s="331">
        <f t="shared" si="2"/>
        <v>132.27321608317831</v>
      </c>
      <c r="E39" s="331">
        <f t="shared" si="1"/>
        <v>32.273216083178312</v>
      </c>
    </row>
    <row r="40" spans="1:5" ht="24.95" customHeight="1" thickTop="1" thickBot="1">
      <c r="A40" s="328" t="s">
        <v>389</v>
      </c>
      <c r="B40" s="326">
        <f>'[1]2015'!O40</f>
        <v>17770.5</v>
      </c>
      <c r="C40" s="327">
        <f>'[1]Vjetore 2016'!N40</f>
        <v>18537.5</v>
      </c>
      <c r="D40" s="327">
        <f>C40/B40*100</f>
        <v>104.31614192059875</v>
      </c>
      <c r="E40" s="327">
        <f>C40/B40*100-100</f>
        <v>4.3161419205987528</v>
      </c>
    </row>
    <row r="41" spans="1:5" ht="24.95" customHeight="1" thickTop="1" thickBot="1">
      <c r="A41" s="328" t="s">
        <v>377</v>
      </c>
      <c r="B41" s="326">
        <f>'[1]2015'!O41</f>
        <v>25913.5</v>
      </c>
      <c r="C41" s="327">
        <f>'[1]Vjetore 2016'!N41</f>
        <v>28427.599999999999</v>
      </c>
      <c r="D41" s="327">
        <f t="shared" si="2"/>
        <v>109.70189283578058</v>
      </c>
      <c r="E41" s="327">
        <f t="shared" si="1"/>
        <v>9.7018928357805834</v>
      </c>
    </row>
    <row r="42" spans="1:5" ht="24.95" customHeight="1" thickTop="1" thickBot="1">
      <c r="A42" s="328" t="s">
        <v>378</v>
      </c>
      <c r="B42" s="326">
        <f>'[1]2015'!O42</f>
        <v>5930.8</v>
      </c>
      <c r="C42" s="327">
        <f>'[1]Vjetore 2016'!N42</f>
        <v>5683.5</v>
      </c>
      <c r="D42" s="327">
        <f t="shared" si="2"/>
        <v>95.830242125851484</v>
      </c>
      <c r="E42" s="327">
        <f t="shared" si="1"/>
        <v>-4.169757874148516</v>
      </c>
    </row>
    <row r="43" spans="1:5" ht="24.95" customHeight="1" thickTop="1" thickBot="1">
      <c r="A43" s="328" t="s">
        <v>359</v>
      </c>
      <c r="B43" s="326">
        <f>'[1]2015'!O43</f>
        <v>210</v>
      </c>
      <c r="C43" s="327">
        <f>'[1]Vjetore 2016'!N43</f>
        <v>0</v>
      </c>
      <c r="D43" s="327"/>
      <c r="E43" s="327"/>
    </row>
    <row r="44" spans="1:5" ht="24.95" customHeight="1" thickTop="1" thickBot="1">
      <c r="A44" s="328" t="s">
        <v>379</v>
      </c>
      <c r="B44" s="326">
        <f>'[1]2015'!O44</f>
        <v>0</v>
      </c>
      <c r="C44" s="327">
        <f>'[1]Vjetore 2016'!N44</f>
        <v>0</v>
      </c>
      <c r="D44" s="327"/>
      <c r="E44" s="327"/>
    </row>
    <row r="45" spans="1:5" ht="24.95" customHeight="1" thickTop="1" thickBot="1">
      <c r="A45" s="336" t="s">
        <v>380</v>
      </c>
      <c r="B45" s="330">
        <f>'[1]2015'!O45</f>
        <v>963155.22000000009</v>
      </c>
      <c r="C45" s="331">
        <f>'[1]Vjetore 2016'!N45</f>
        <v>1260740.1200000001</v>
      </c>
      <c r="D45" s="331">
        <f t="shared" si="2"/>
        <v>130.89687869832653</v>
      </c>
      <c r="E45" s="331">
        <f t="shared" si="1"/>
        <v>30.896878698326532</v>
      </c>
    </row>
    <row r="46" spans="1:5" ht="24.95" customHeight="1" thickTop="1" thickBot="1">
      <c r="A46" s="328" t="s">
        <v>390</v>
      </c>
      <c r="B46" s="326">
        <f>'[1]2015'!O46</f>
        <v>23133</v>
      </c>
      <c r="C46" s="327">
        <f>'[1]Vjetore 2016'!N46</f>
        <v>22859.5</v>
      </c>
      <c r="D46" s="327">
        <f t="shared" si="2"/>
        <v>98.817706307007299</v>
      </c>
      <c r="E46" s="327">
        <f>C46/B46*100-100</f>
        <v>-1.182293692992701</v>
      </c>
    </row>
    <row r="47" spans="1:5" ht="24.95" customHeight="1" thickTop="1" thickBot="1">
      <c r="A47" s="328" t="s">
        <v>391</v>
      </c>
      <c r="B47" s="326">
        <f>'[1]2015'!O47</f>
        <v>45795</v>
      </c>
      <c r="C47" s="327">
        <f>'[1]Vjetore 2016'!N47</f>
        <v>27640</v>
      </c>
      <c r="D47" s="327">
        <f t="shared" si="2"/>
        <v>60.355934053936025</v>
      </c>
      <c r="E47" s="327">
        <f>C47/B47*100-100</f>
        <v>-39.644065946063975</v>
      </c>
    </row>
    <row r="48" spans="1:5" ht="24.95" customHeight="1" thickTop="1" thickBot="1">
      <c r="A48" s="328" t="s">
        <v>392</v>
      </c>
      <c r="B48" s="326">
        <f>'[1]2015'!O48</f>
        <v>0</v>
      </c>
      <c r="C48" s="327">
        <f>'[1]Vjetore 2016'!N48</f>
        <v>0</v>
      </c>
      <c r="D48" s="327"/>
      <c r="E48" s="327"/>
    </row>
    <row r="49" spans="1:5" ht="24.95" customHeight="1" thickTop="1" thickBot="1">
      <c r="A49" s="336" t="s">
        <v>381</v>
      </c>
      <c r="B49" s="330">
        <f>'[1]2015'!O49</f>
        <v>1032083.2200000001</v>
      </c>
      <c r="C49" s="331">
        <f>'[1]Vjetore 2016'!N49</f>
        <v>1311239.6200000001</v>
      </c>
      <c r="D49" s="331">
        <f>C49/B49*100</f>
        <v>127.04785763303079</v>
      </c>
      <c r="E49" s="331">
        <f t="shared" si="1"/>
        <v>27.047857633030787</v>
      </c>
    </row>
    <row r="50" spans="1:5" ht="24.95" customHeight="1" thickTop="1" thickBot="1">
      <c r="A50" s="328" t="s">
        <v>393</v>
      </c>
      <c r="B50" s="326">
        <f>'[1]2015'!O50</f>
        <v>8000</v>
      </c>
      <c r="C50" s="327">
        <f>'[1]Vjetore 2016'!N50</f>
        <v>75515</v>
      </c>
      <c r="D50" s="327">
        <f>C50/B50*100</f>
        <v>943.9375</v>
      </c>
      <c r="E50" s="327">
        <f t="shared" si="1"/>
        <v>843.9375</v>
      </c>
    </row>
    <row r="51" spans="1:5" ht="24.95" customHeight="1" thickTop="1" thickBot="1">
      <c r="A51" s="336" t="s">
        <v>382</v>
      </c>
      <c r="B51" s="330">
        <f>'[1]2015'!O51</f>
        <v>1040083.2200000001</v>
      </c>
      <c r="C51" s="331">
        <f>'[1]Vjetore 2016'!N51</f>
        <v>1386754.62</v>
      </c>
      <c r="D51" s="331">
        <f t="shared" si="2"/>
        <v>133.3311213308489</v>
      </c>
      <c r="E51" s="331">
        <f t="shared" si="1"/>
        <v>33.331121330848902</v>
      </c>
    </row>
    <row r="52" spans="1:5" ht="13.5" thickTop="1"/>
  </sheetData>
  <mergeCells count="1">
    <mergeCell ref="A1:E1"/>
  </mergeCells>
  <conditionalFormatting sqref="A2:E51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{2ABBF068-C26E-4B81-8E1C-BF3DE3EB5D90}</x14:id>
        </ext>
      </extLst>
    </cfRule>
  </conditionalFormatting>
  <conditionalFormatting sqref="B3:C5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{55A7E83A-7CD6-4C2E-8416-896DA35AE82F}</x14:id>
        </ext>
      </extLst>
    </cfRule>
  </conditionalFormatting>
  <conditionalFormatting sqref="B4:C51">
    <cfRule type="dataBar" priority="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{A74752F3-FEAB-45DD-9902-F94E946B1247}</x14:id>
        </ext>
      </extLst>
    </cfRule>
  </conditionalFormatting>
  <pageMargins left="0.2" right="0.2" top="0.5" bottom="0.5" header="0.3" footer="0.3"/>
  <pageSetup paperSize="9" scale="6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BBF068-C26E-4B81-8E1C-BF3DE3EB5D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A2:E51</xm:sqref>
        </x14:conditionalFormatting>
        <x14:conditionalFormatting xmlns:xm="http://schemas.microsoft.com/office/excel/2006/main">
          <x14:cfRule type="dataBar" id="{55A7E83A-7CD6-4C2E-8416-896DA35AE8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B3:C51</xm:sqref>
        </x14:conditionalFormatting>
        <x14:conditionalFormatting xmlns:xm="http://schemas.microsoft.com/office/excel/2006/main">
          <x14:cfRule type="dataBar" id="{A74752F3-FEAB-45DD-9902-F94E946B124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B4:C51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"/>
  <sheetViews>
    <sheetView zoomScaleNormal="100" workbookViewId="0">
      <selection activeCell="A2" sqref="A2:D2"/>
    </sheetView>
  </sheetViews>
  <sheetFormatPr defaultRowHeight="12.75"/>
  <cols>
    <col min="1" max="1" width="57.28515625" customWidth="1"/>
    <col min="2" max="2" width="17.85546875" customWidth="1"/>
    <col min="3" max="3" width="15.28515625" customWidth="1"/>
    <col min="4" max="4" width="43.42578125" customWidth="1"/>
  </cols>
  <sheetData>
    <row r="1" spans="1:4" ht="25.5" customHeight="1" thickBot="1">
      <c r="A1" s="412" t="s">
        <v>394</v>
      </c>
      <c r="B1" s="412"/>
      <c r="C1" s="412"/>
      <c r="D1" s="412"/>
    </row>
    <row r="2" spans="1:4" ht="49.5" customHeight="1" thickBot="1">
      <c r="A2" s="365" t="s">
        <v>395</v>
      </c>
      <c r="B2" s="365" t="s">
        <v>396</v>
      </c>
      <c r="C2" s="365" t="s">
        <v>397</v>
      </c>
      <c r="D2" s="365" t="s">
        <v>398</v>
      </c>
    </row>
    <row r="3" spans="1:4" ht="28.5" customHeight="1">
      <c r="A3" s="358" t="s">
        <v>399</v>
      </c>
      <c r="B3" s="358" t="s">
        <v>400</v>
      </c>
      <c r="C3" s="359">
        <v>47467.87</v>
      </c>
      <c r="D3" s="358" t="s">
        <v>401</v>
      </c>
    </row>
    <row r="4" spans="1:4" ht="23.25" customHeight="1">
      <c r="A4" s="360" t="s">
        <v>402</v>
      </c>
      <c r="B4" s="360" t="s">
        <v>400</v>
      </c>
      <c r="C4" s="361">
        <v>1631.18</v>
      </c>
      <c r="D4" s="360" t="s">
        <v>401</v>
      </c>
    </row>
    <row r="5" spans="1:4" ht="23.25" customHeight="1">
      <c r="A5" s="360" t="s">
        <v>403</v>
      </c>
      <c r="B5" s="360" t="s">
        <v>400</v>
      </c>
      <c r="C5" s="361">
        <v>3011.42</v>
      </c>
      <c r="D5" s="360" t="s">
        <v>404</v>
      </c>
    </row>
    <row r="6" spans="1:4" ht="21.75" customHeight="1">
      <c r="A6" s="360" t="s">
        <v>405</v>
      </c>
      <c r="B6" s="360" t="s">
        <v>406</v>
      </c>
      <c r="C6" s="361">
        <v>55322.65</v>
      </c>
      <c r="D6" s="360" t="s">
        <v>404</v>
      </c>
    </row>
    <row r="7" spans="1:4" ht="22.5" customHeight="1" thickBot="1">
      <c r="A7" s="360" t="s">
        <v>445</v>
      </c>
      <c r="B7" s="360" t="s">
        <v>446</v>
      </c>
      <c r="C7" s="361">
        <v>528.64</v>
      </c>
      <c r="D7" s="360" t="s">
        <v>447</v>
      </c>
    </row>
    <row r="8" spans="1:4" ht="24.75" customHeight="1" thickBot="1">
      <c r="A8" s="362" t="s">
        <v>407</v>
      </c>
      <c r="B8" s="363"/>
      <c r="C8" s="364">
        <f>SUM(C3:C7)</f>
        <v>107961.76</v>
      </c>
      <c r="D8" s="363"/>
    </row>
    <row r="14" spans="1:4">
      <c r="D14" s="300"/>
    </row>
  </sheetData>
  <mergeCells count="1">
    <mergeCell ref="A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Raporti Janar-Shtator 2016</vt:lpstr>
      <vt:lpstr>SHPEN ANALITIKE DREJTORATE </vt:lpstr>
      <vt:lpstr>Analitik e Permbledhur</vt:lpstr>
      <vt:lpstr>Kapitalet Janar-Shtator 2016</vt:lpstr>
      <vt:lpstr>Planifiki i te hyrave 2016</vt:lpstr>
      <vt:lpstr>Krahasimi h</vt:lpstr>
      <vt:lpstr>Ekzekutimet e Thesarit </vt:lpstr>
      <vt:lpstr>'Analitik e Permbledhur'!Print_Area</vt:lpstr>
      <vt:lpstr>'Kapitalet Janar-Shtator 2016'!Print_Area</vt:lpstr>
      <vt:lpstr>'Raporti Janar-Shtator 2016'!Print_Area</vt:lpstr>
      <vt:lpstr>'Kapitalet Janar-Shtator 2016'!Print_Titles</vt:lpstr>
    </vt:vector>
  </TitlesOfParts>
  <Manager/>
  <Company>DataProgNet - Computers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DataProgNet - Computers</dc:creator>
  <cp:keywords/>
  <dc:description/>
  <cp:lastModifiedBy>Qendresa Jashanica</cp:lastModifiedBy>
  <cp:revision/>
  <cp:lastPrinted>2016-10-20T08:51:13Z</cp:lastPrinted>
  <dcterms:created xsi:type="dcterms:W3CDTF">2006-04-14T11:00:35Z</dcterms:created>
  <dcterms:modified xsi:type="dcterms:W3CDTF">2019-11-19T12:42:46Z</dcterms:modified>
  <cp:category/>
  <cp:contentStatus/>
</cp:coreProperties>
</file>